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brokenpot-my.sharepoint.com/personal/repository_brokenpot_it/Documents/300_Clienti/330_Clienti/25SEA003ADV_UniMore/05_Project_management/BrokenPot/Deliverable/"/>
    </mc:Choice>
  </mc:AlternateContent>
  <xr:revisionPtr revIDLastSave="637" documentId="8_{1D328B4C-EFD6-4CB5-9DF2-4C799E813496}" xr6:coauthVersionLast="47" xr6:coauthVersionMax="47" xr10:uidLastSave="{42C65986-38F4-4734-AF5C-F3D6146C2878}"/>
  <bookViews>
    <workbookView xWindow="-113" yWindow="-113" windowWidth="24267" windowHeight="13023" xr2:uid="{0FD81072-4A4B-4510-80A3-345B79555C01}"/>
  </bookViews>
  <sheets>
    <sheet name="INTRODUZIONE" sheetId="19" r:id="rId1"/>
    <sheet name="2022_DATI" sheetId="8" r:id="rId2"/>
    <sheet name="PUNTEGGI" sheetId="11" r:id="rId3"/>
    <sheet name="FUNZIONI UTILITA" sheetId="16" r:id="rId4"/>
    <sheet name="PESI" sheetId="17" r:id="rId5"/>
    <sheet name="IC" sheetId="20" r:id="rId6"/>
  </sheets>
  <externalReferences>
    <externalReference r:id="rId7"/>
    <externalReference r:id="rId8"/>
  </externalReferences>
  <definedNames>
    <definedName name="_xlnm._FilterDatabase" localSheetId="1" hidden="1">'2022_DATI'!$A$1:$AM$26</definedName>
    <definedName name="_xlnm._FilterDatabase" localSheetId="5" hidden="1">IC!$B$4:$K$4</definedName>
    <definedName name="_xlnm._FilterDatabase" localSheetId="4" hidden="1">PESI!$A$4:$F$4</definedName>
    <definedName name="_xlnm._FilterDatabase" localSheetId="2" hidden="1">PUNTEGGI!$A$3:$O$3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20" l="1"/>
  <c r="G6" i="20"/>
  <c r="H6" i="20"/>
  <c r="I6" i="20"/>
  <c r="J6" i="20"/>
  <c r="F7" i="20"/>
  <c r="G7" i="20"/>
  <c r="H7" i="20"/>
  <c r="I7" i="20"/>
  <c r="K7" i="20" s="1"/>
  <c r="J7" i="20"/>
  <c r="F8" i="20"/>
  <c r="G8" i="20"/>
  <c r="H8" i="20"/>
  <c r="I8" i="20"/>
  <c r="J8" i="20"/>
  <c r="F9" i="20"/>
  <c r="G9" i="20"/>
  <c r="H9" i="20"/>
  <c r="I9" i="20"/>
  <c r="J9" i="20"/>
  <c r="K9" i="20"/>
  <c r="F10" i="20"/>
  <c r="G10" i="20"/>
  <c r="H10" i="20"/>
  <c r="I10" i="20"/>
  <c r="J10" i="20"/>
  <c r="F11" i="20"/>
  <c r="G11" i="20"/>
  <c r="H11" i="20"/>
  <c r="I11" i="20"/>
  <c r="K11" i="20" s="1"/>
  <c r="J11" i="20"/>
  <c r="F12" i="20"/>
  <c r="G12" i="20"/>
  <c r="H12" i="20"/>
  <c r="I12" i="20"/>
  <c r="J12" i="20"/>
  <c r="F13" i="20"/>
  <c r="G13" i="20"/>
  <c r="H13" i="20"/>
  <c r="I13" i="20"/>
  <c r="J13" i="20"/>
  <c r="F14" i="20"/>
  <c r="G14" i="20"/>
  <c r="H14" i="20"/>
  <c r="I14" i="20"/>
  <c r="J14" i="20"/>
  <c r="F15" i="20"/>
  <c r="G15" i="20"/>
  <c r="H15" i="20"/>
  <c r="I15" i="20"/>
  <c r="J15" i="20"/>
  <c r="K15" i="20"/>
  <c r="F16" i="20"/>
  <c r="G16" i="20"/>
  <c r="H16" i="20"/>
  <c r="I16" i="20"/>
  <c r="J16" i="20"/>
  <c r="F17" i="20"/>
  <c r="G17" i="20"/>
  <c r="H17" i="20"/>
  <c r="I17" i="20"/>
  <c r="J17" i="20"/>
  <c r="F18" i="20"/>
  <c r="G18" i="20"/>
  <c r="H18" i="20"/>
  <c r="I18" i="20"/>
  <c r="J18" i="20"/>
  <c r="K18" i="20"/>
  <c r="F19" i="20"/>
  <c r="G19" i="20"/>
  <c r="H19" i="20"/>
  <c r="I19" i="20"/>
  <c r="J19" i="20"/>
  <c r="K19" i="20"/>
  <c r="F20" i="20"/>
  <c r="G20" i="20"/>
  <c r="H20" i="20"/>
  <c r="I20" i="20"/>
  <c r="J20" i="20"/>
  <c r="F21" i="20"/>
  <c r="G21" i="20"/>
  <c r="H21" i="20"/>
  <c r="I21" i="20"/>
  <c r="J21" i="20"/>
  <c r="K21" i="20"/>
  <c r="F22" i="20"/>
  <c r="G22" i="20"/>
  <c r="H22" i="20"/>
  <c r="I22" i="20"/>
  <c r="J22" i="20"/>
  <c r="F23" i="20"/>
  <c r="G23" i="20"/>
  <c r="H23" i="20"/>
  <c r="I23" i="20"/>
  <c r="J23" i="20"/>
  <c r="K23" i="20"/>
  <c r="F24" i="20"/>
  <c r="G24" i="20"/>
  <c r="H24" i="20"/>
  <c r="I24" i="20"/>
  <c r="J24" i="20"/>
  <c r="F25" i="20"/>
  <c r="G25" i="20"/>
  <c r="H25" i="20"/>
  <c r="I25" i="20"/>
  <c r="J25" i="20"/>
  <c r="F26" i="20"/>
  <c r="G26" i="20"/>
  <c r="H26" i="20"/>
  <c r="I26" i="20"/>
  <c r="J26" i="20"/>
  <c r="F27" i="20"/>
  <c r="G27" i="20"/>
  <c r="H27" i="20"/>
  <c r="I27" i="20"/>
  <c r="J27" i="20"/>
  <c r="F28" i="20"/>
  <c r="G28" i="20"/>
  <c r="H28" i="20"/>
  <c r="I28" i="20"/>
  <c r="J28" i="20"/>
  <c r="F29" i="20"/>
  <c r="G29" i="20"/>
  <c r="I29" i="20"/>
  <c r="J29" i="20"/>
  <c r="J5" i="20"/>
  <c r="I5" i="20"/>
  <c r="H5" i="20"/>
  <c r="G5" i="20"/>
  <c r="F5" i="20"/>
  <c r="E6" i="20"/>
  <c r="E7" i="20"/>
  <c r="E8" i="20"/>
  <c r="E9" i="20"/>
  <c r="E10" i="20"/>
  <c r="E11" i="20"/>
  <c r="E12" i="20"/>
  <c r="K12" i="20" s="1"/>
  <c r="E13" i="20"/>
  <c r="K13" i="20" s="1"/>
  <c r="E14" i="20"/>
  <c r="E15" i="20"/>
  <c r="E16" i="20"/>
  <c r="E17" i="20"/>
  <c r="E18" i="20"/>
  <c r="E19" i="20"/>
  <c r="E20" i="20"/>
  <c r="E21" i="20"/>
  <c r="E22" i="20"/>
  <c r="E23" i="20"/>
  <c r="E24" i="20"/>
  <c r="E25" i="20"/>
  <c r="K25" i="20" s="1"/>
  <c r="E26" i="20"/>
  <c r="E27" i="20"/>
  <c r="E28" i="20"/>
  <c r="E5" i="20"/>
  <c r="D6" i="20" a="1"/>
  <c r="D6" i="20"/>
  <c r="K6" i="20" s="1"/>
  <c r="D7" i="20" a="1"/>
  <c r="D7" i="20" s="1"/>
  <c r="D8" i="20" a="1"/>
  <c r="D8" i="20"/>
  <c r="K8" i="20" s="1"/>
  <c r="D9" i="20" a="1"/>
  <c r="D9" i="20"/>
  <c r="D10" i="20" a="1"/>
  <c r="D10" i="20" s="1"/>
  <c r="K10" i="20" s="1"/>
  <c r="D11" i="20" a="1"/>
  <c r="D11" i="20"/>
  <c r="D12" i="20" a="1"/>
  <c r="D12" i="20"/>
  <c r="D13" i="20" a="1"/>
  <c r="D13" i="20" s="1"/>
  <c r="D14" i="20" a="1"/>
  <c r="D14" i="20"/>
  <c r="K14" i="20" s="1"/>
  <c r="D15" i="20" a="1"/>
  <c r="D15" i="20"/>
  <c r="D16" i="20" a="1"/>
  <c r="D16" i="20" s="1"/>
  <c r="K16" i="20" s="1"/>
  <c r="D17" i="20" a="1"/>
  <c r="D17" i="20"/>
  <c r="K17" i="20" s="1"/>
  <c r="D18" i="20" a="1"/>
  <c r="D18" i="20"/>
  <c r="D19" i="20" a="1"/>
  <c r="D19" i="20" s="1"/>
  <c r="D20" i="20" a="1"/>
  <c r="D20" i="20" s="1"/>
  <c r="K20" i="20" s="1"/>
  <c r="D21" i="20" a="1"/>
  <c r="D21" i="20"/>
  <c r="D22" i="20" a="1"/>
  <c r="D22" i="20" s="1"/>
  <c r="K22" i="20" s="1"/>
  <c r="D23" i="20" a="1"/>
  <c r="D23" i="20"/>
  <c r="D24" i="20" a="1"/>
  <c r="D24" i="20"/>
  <c r="D25" i="20" a="1"/>
  <c r="D25" i="20" s="1"/>
  <c r="D26" i="20" a="1"/>
  <c r="D26" i="20"/>
  <c r="K26" i="20" s="1"/>
  <c r="D27" i="20" a="1"/>
  <c r="D27" i="20" s="1"/>
  <c r="K27" i="20" s="1"/>
  <c r="D28" i="20" a="1"/>
  <c r="D28" i="20" s="1"/>
  <c r="K28" i="20" s="1"/>
  <c r="D5" i="20" a="1"/>
  <c r="D5" i="20" s="1"/>
  <c r="C29" i="20"/>
  <c r="B58" i="11" a="1"/>
  <c r="B58" i="11" s="1"/>
  <c r="D29" i="20" s="1" a="1"/>
  <c r="D29" i="20" s="1"/>
  <c r="K29" i="20" s="1"/>
  <c r="N58" i="11" a="1"/>
  <c r="N58" i="11" s="1"/>
  <c r="O35" i="11"/>
  <c r="O36" i="11"/>
  <c r="O37" i="11"/>
  <c r="O38" i="11"/>
  <c r="O39" i="11"/>
  <c r="O40" i="11"/>
  <c r="O41" i="11"/>
  <c r="O42" i="11"/>
  <c r="O43" i="11"/>
  <c r="O44" i="11"/>
  <c r="O45" i="11"/>
  <c r="O46" i="11"/>
  <c r="O47" i="11"/>
  <c r="O48" i="11"/>
  <c r="O49" i="11"/>
  <c r="O50" i="11"/>
  <c r="O51" i="11"/>
  <c r="O52" i="11"/>
  <c r="O53" i="11"/>
  <c r="O54" i="11"/>
  <c r="O55" i="11"/>
  <c r="O56" i="11"/>
  <c r="O57" i="11"/>
  <c r="O58" i="11"/>
  <c r="O34" i="11"/>
  <c r="O5" i="11"/>
  <c r="O6" i="11"/>
  <c r="O7" i="11"/>
  <c r="O8" i="11"/>
  <c r="O9" i="11"/>
  <c r="O10" i="11"/>
  <c r="O11" i="11"/>
  <c r="O12" i="11"/>
  <c r="O13" i="11"/>
  <c r="O14" i="11"/>
  <c r="O15" i="11"/>
  <c r="O16" i="11"/>
  <c r="O17" i="11"/>
  <c r="O18" i="11"/>
  <c r="O19" i="11"/>
  <c r="O20" i="11"/>
  <c r="O21" i="11"/>
  <c r="O22" i="11"/>
  <c r="O23" i="11"/>
  <c r="O24" i="11"/>
  <c r="O25" i="11"/>
  <c r="O26" i="11"/>
  <c r="O27" i="11"/>
  <c r="O28" i="11"/>
  <c r="O4" i="11"/>
  <c r="B28" i="11"/>
  <c r="I28" i="11"/>
  <c r="J28" i="11"/>
  <c r="J58" i="11" s="1" a="1"/>
  <c r="J58" i="11" s="1"/>
  <c r="K28" i="11"/>
  <c r="K58" i="11" s="1"/>
  <c r="L28" i="11"/>
  <c r="L58" i="11" s="1" a="1"/>
  <c r="L58" i="11" s="1"/>
  <c r="H29" i="20" s="1"/>
  <c r="M28" i="11"/>
  <c r="M58" i="11" s="1" a="1"/>
  <c r="M58" i="11" s="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34" i="11"/>
  <c r="A28" i="11"/>
  <c r="A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4" i="11"/>
  <c r="L23" i="11"/>
  <c r="AK13" i="8"/>
  <c r="N8" i="16"/>
  <c r="N7" i="16"/>
  <c r="N6" i="16"/>
  <c r="Q7" i="16" s="1"/>
  <c r="N5" i="16"/>
  <c r="N4" i="16"/>
  <c r="Q5" i="16" s="1"/>
  <c r="N3" i="16"/>
  <c r="M3" i="16"/>
  <c r="O17" i="8"/>
  <c r="S17" i="8" s="1"/>
  <c r="W17" i="8" s="1"/>
  <c r="AK17" i="8"/>
  <c r="E18" i="8"/>
  <c r="S18" i="8"/>
  <c r="W18" i="8" s="1"/>
  <c r="AK18" i="8"/>
  <c r="F11" i="17"/>
  <c r="F5" i="17"/>
  <c r="C28" i="11" l="1" a="1"/>
  <c r="C28" i="11" s="1"/>
  <c r="C58" i="11" s="1"/>
  <c r="E29" i="20" s="1"/>
  <c r="K24" i="20"/>
  <c r="F28" i="11"/>
  <c r="G28" i="11"/>
  <c r="H28" i="11"/>
  <c r="D28" i="11"/>
  <c r="E28" i="11"/>
  <c r="Q6" i="16"/>
  <c r="P7" i="16"/>
  <c r="Q8" i="16"/>
  <c r="P8" i="16"/>
  <c r="Q4" i="16"/>
  <c r="P4" i="16"/>
  <c r="P5" i="16"/>
  <c r="P6" i="16"/>
  <c r="F6" i="17"/>
  <c r="F7" i="17"/>
  <c r="F8" i="17"/>
  <c r="F9" i="17"/>
  <c r="F10" i="17"/>
  <c r="M5" i="11"/>
  <c r="M7" i="11"/>
  <c r="M9" i="11"/>
  <c r="M11" i="11"/>
  <c r="M17" i="11"/>
  <c r="M18" i="11"/>
  <c r="M19" i="11"/>
  <c r="M20" i="11"/>
  <c r="M21" i="11"/>
  <c r="M22" i="11"/>
  <c r="M23" i="11"/>
  <c r="M24" i="11"/>
  <c r="M25" i="11"/>
  <c r="M26" i="11"/>
  <c r="M27" i="11"/>
  <c r="M4" i="11"/>
  <c r="AL5" i="8" l="1"/>
  <c r="M6" i="11" s="1"/>
  <c r="AL7" i="8"/>
  <c r="M8" i="11" s="1"/>
  <c r="AL9" i="8" l="1"/>
  <c r="M10" i="11" s="1"/>
  <c r="AL12" i="8"/>
  <c r="M13" i="11" s="1"/>
  <c r="AL11" i="8"/>
  <c r="M12" i="11" s="1"/>
  <c r="AK14" i="8"/>
  <c r="AK16" i="8"/>
  <c r="T16" i="8"/>
  <c r="AA15" i="8"/>
  <c r="AB15" i="8" s="1"/>
  <c r="AD15" i="8" s="1"/>
  <c r="E15" i="8"/>
  <c r="AL15" i="8"/>
  <c r="M16" i="11" s="1"/>
  <c r="AL14" i="8"/>
  <c r="M15" i="11" s="1"/>
  <c r="AL13" i="8"/>
  <c r="M14" i="11" s="1"/>
  <c r="O13" i="8" l="1"/>
  <c r="S13" i="8" s="1"/>
  <c r="W13" i="8" s="1"/>
  <c r="AE8" i="8"/>
  <c r="AK8" i="8" s="1"/>
  <c r="AE4" i="8"/>
  <c r="AK4" i="8" s="1"/>
  <c r="AC14" i="8"/>
  <c r="AC22" i="8"/>
  <c r="AK3" i="8"/>
  <c r="K4" i="11"/>
  <c r="AC25" i="16"/>
  <c r="AC24" i="16"/>
  <c r="AC23" i="16"/>
  <c r="AB23" i="16"/>
  <c r="Z23" i="16"/>
  <c r="Y23" i="16"/>
  <c r="AC22" i="16"/>
  <c r="AB22" i="16"/>
  <c r="Z22" i="16"/>
  <c r="Y22" i="16"/>
  <c r="AC21" i="16"/>
  <c r="AB21" i="16"/>
  <c r="Z21" i="16"/>
  <c r="Y21" i="16"/>
  <c r="AC20" i="16"/>
  <c r="AB20" i="16"/>
  <c r="Z20" i="16"/>
  <c r="Y20" i="16"/>
  <c r="AC19" i="16"/>
  <c r="AB19" i="16"/>
  <c r="Z19" i="16"/>
  <c r="Y19" i="16"/>
  <c r="AC18" i="16"/>
  <c r="AB18" i="16"/>
  <c r="Z18" i="16"/>
  <c r="Y18" i="16"/>
  <c r="AC17" i="16"/>
  <c r="AB17" i="16"/>
  <c r="Z17" i="16"/>
  <c r="Y17" i="16"/>
  <c r="AC16" i="16"/>
  <c r="AB16" i="16"/>
  <c r="Z16" i="16"/>
  <c r="Y16" i="16"/>
  <c r="AC15" i="16"/>
  <c r="AB15" i="16"/>
  <c r="Z15" i="16"/>
  <c r="AK11" i="8"/>
  <c r="AK12" i="8"/>
  <c r="AK15" i="8"/>
  <c r="AK19" i="8"/>
  <c r="AK20" i="8"/>
  <c r="AK21" i="8"/>
  <c r="AK22" i="8"/>
  <c r="AK23" i="8"/>
  <c r="AK24" i="8"/>
  <c r="AK25" i="8"/>
  <c r="AK26" i="8"/>
  <c r="AK5" i="8"/>
  <c r="AK6" i="8"/>
  <c r="AK7" i="8"/>
  <c r="AK9" i="8"/>
  <c r="AK10" i="8"/>
  <c r="T3" i="16"/>
  <c r="S5" i="8"/>
  <c r="S6" i="8"/>
  <c r="S7" i="8"/>
  <c r="S9" i="8"/>
  <c r="S10" i="8"/>
  <c r="S11" i="8"/>
  <c r="S12" i="8"/>
  <c r="S14" i="8"/>
  <c r="W14" i="8" s="1"/>
  <c r="S15" i="8"/>
  <c r="S16" i="8"/>
  <c r="W16" i="8" s="1"/>
  <c r="L19" i="11"/>
  <c r="S20" i="8"/>
  <c r="S21" i="8"/>
  <c r="S23" i="8"/>
  <c r="S24" i="8"/>
  <c r="S25" i="8"/>
  <c r="S26" i="8"/>
  <c r="S3" i="8"/>
  <c r="J4" i="11" s="1"/>
  <c r="L22" i="11" l="1"/>
  <c r="L21" i="11"/>
  <c r="L8" i="11"/>
  <c r="L7" i="11"/>
  <c r="L6" i="11"/>
  <c r="L25" i="11"/>
  <c r="L27" i="11"/>
  <c r="L16" i="11"/>
  <c r="L13" i="11"/>
  <c r="L14" i="11"/>
  <c r="L12" i="11"/>
  <c r="L4" i="11"/>
  <c r="L24" i="11"/>
  <c r="L15" i="11"/>
  <c r="L26" i="11"/>
  <c r="L11" i="11"/>
  <c r="L10" i="11"/>
  <c r="L17" i="11"/>
  <c r="N35" i="11" a="1"/>
  <c r="N35" i="11" s="1"/>
  <c r="N36" i="11" a="1"/>
  <c r="N36" i="11" s="1"/>
  <c r="N37" i="11" a="1"/>
  <c r="N37" i="11" s="1"/>
  <c r="N38" i="11" a="1"/>
  <c r="N38" i="11" s="1"/>
  <c r="N39" i="11" a="1"/>
  <c r="N39" i="11" s="1"/>
  <c r="N40" i="11" a="1"/>
  <c r="N40" i="11" s="1"/>
  <c r="N41" i="11" a="1"/>
  <c r="N41" i="11" s="1"/>
  <c r="N42" i="11" a="1"/>
  <c r="N42" i="11" s="1"/>
  <c r="N43" i="11" a="1"/>
  <c r="N43" i="11" s="1"/>
  <c r="N44" i="11" a="1"/>
  <c r="N44" i="11" s="1"/>
  <c r="N45" i="11" a="1"/>
  <c r="N45" i="11" s="1"/>
  <c r="N46" i="11" a="1"/>
  <c r="N46" i="11" s="1"/>
  <c r="N47" i="11" a="1"/>
  <c r="N47" i="11" s="1"/>
  <c r="N48" i="11" a="1"/>
  <c r="N48" i="11" s="1"/>
  <c r="N49" i="11" a="1"/>
  <c r="N49" i="11" s="1"/>
  <c r="N50" i="11" a="1"/>
  <c r="N50" i="11" s="1"/>
  <c r="N51" i="11" a="1"/>
  <c r="N51" i="11" s="1"/>
  <c r="N52" i="11" a="1"/>
  <c r="N52" i="11" s="1"/>
  <c r="N53" i="11" a="1"/>
  <c r="N53" i="11" s="1"/>
  <c r="N54" i="11" a="1"/>
  <c r="N54" i="11" s="1"/>
  <c r="N55" i="11" a="1"/>
  <c r="N55" i="11" s="1"/>
  <c r="N56" i="11" a="1"/>
  <c r="N56" i="11" s="1"/>
  <c r="N57" i="11" a="1"/>
  <c r="N57" i="11" s="1"/>
  <c r="N34" i="11" a="1"/>
  <c r="N34" i="11" s="1"/>
  <c r="M35" i="11" a="1"/>
  <c r="M35" i="11" s="1"/>
  <c r="M36" i="11" a="1"/>
  <c r="M36" i="11" s="1"/>
  <c r="M37" i="11" a="1"/>
  <c r="M37" i="11" s="1"/>
  <c r="M38" i="11" a="1"/>
  <c r="M38" i="11" s="1"/>
  <c r="M39" i="11" a="1"/>
  <c r="M39" i="11" s="1"/>
  <c r="M40" i="11" a="1"/>
  <c r="M40" i="11" s="1"/>
  <c r="M41" i="11" a="1"/>
  <c r="M41" i="11" s="1"/>
  <c r="M42" i="11" a="1"/>
  <c r="M42" i="11" s="1"/>
  <c r="M43" i="11" a="1"/>
  <c r="M43" i="11" s="1"/>
  <c r="M44" i="11" a="1"/>
  <c r="M44" i="11" s="1"/>
  <c r="M45" i="11" a="1"/>
  <c r="M45" i="11" s="1"/>
  <c r="M46" i="11" a="1"/>
  <c r="M46" i="11" s="1"/>
  <c r="M47" i="11" a="1"/>
  <c r="M47" i="11" s="1"/>
  <c r="M48" i="11" a="1"/>
  <c r="M48" i="11" s="1"/>
  <c r="M49" i="11" a="1"/>
  <c r="M49" i="11" s="1"/>
  <c r="M50" i="11" a="1"/>
  <c r="M50" i="11" s="1"/>
  <c r="M51" i="11" a="1"/>
  <c r="M51" i="11" s="1"/>
  <c r="M52" i="11" a="1"/>
  <c r="M52" i="11" s="1"/>
  <c r="M53" i="11" a="1"/>
  <c r="M53" i="11" s="1"/>
  <c r="M54" i="11" a="1"/>
  <c r="M54" i="11" s="1"/>
  <c r="M55" i="11" a="1"/>
  <c r="M55" i="11" s="1"/>
  <c r="M56" i="11" a="1"/>
  <c r="M56" i="11" s="1"/>
  <c r="M57" i="11" a="1"/>
  <c r="M57" i="11" s="1"/>
  <c r="M34" i="11" a="1"/>
  <c r="M34" i="11" s="1"/>
  <c r="W3" i="8" l="1"/>
  <c r="D4" i="11" s="1"/>
  <c r="I16" i="11"/>
  <c r="X6" i="16"/>
  <c r="W6" i="16"/>
  <c r="X5" i="16"/>
  <c r="W5" i="16"/>
  <c r="J6" i="11"/>
  <c r="J7" i="11"/>
  <c r="J8" i="11"/>
  <c r="J10" i="11"/>
  <c r="J11" i="11"/>
  <c r="J13" i="11"/>
  <c r="J14" i="11"/>
  <c r="J15" i="11"/>
  <c r="J16" i="11"/>
  <c r="J19" i="11"/>
  <c r="K9" i="11"/>
  <c r="K10" i="11"/>
  <c r="K11" i="11"/>
  <c r="E4" i="11" l="1"/>
  <c r="J17" i="11"/>
  <c r="B4" i="11"/>
  <c r="K9" i="16" l="1"/>
  <c r="J9" i="16"/>
  <c r="I9" i="16"/>
  <c r="H9" i="16"/>
  <c r="G9" i="16"/>
  <c r="K6" i="16"/>
  <c r="K11" i="16" s="1"/>
  <c r="K7" i="16"/>
  <c r="K12" i="16" s="1"/>
  <c r="J7" i="16"/>
  <c r="J12" i="16" s="1"/>
  <c r="J6" i="16"/>
  <c r="J11" i="16" s="1"/>
  <c r="H5" i="16"/>
  <c r="H10" i="16" s="1"/>
  <c r="I5" i="16"/>
  <c r="I10" i="16" s="1"/>
  <c r="H6" i="16"/>
  <c r="H11" i="16" s="1"/>
  <c r="I6" i="16"/>
  <c r="I11" i="16" s="1"/>
  <c r="H7" i="16"/>
  <c r="H12" i="16" s="1"/>
  <c r="I7" i="16"/>
  <c r="I12" i="16" s="1"/>
  <c r="G6" i="16"/>
  <c r="G11" i="16" s="1"/>
  <c r="G7" i="16"/>
  <c r="G12" i="16" s="1"/>
  <c r="K5" i="16"/>
  <c r="K10" i="16" s="1"/>
  <c r="J5" i="16"/>
  <c r="J10" i="16" s="1"/>
  <c r="G5" i="16"/>
  <c r="G10" i="16" s="1"/>
  <c r="E6" i="16"/>
  <c r="F6" i="16"/>
  <c r="E7" i="16"/>
  <c r="F7" i="16"/>
  <c r="E8" i="16"/>
  <c r="F8" i="16"/>
  <c r="E5" i="16"/>
  <c r="F5" i="16"/>
  <c r="E4" i="16"/>
  <c r="F4" i="16"/>
  <c r="I26" i="11" l="1"/>
  <c r="J34" i="11" l="1" a="1"/>
  <c r="J34" i="11" s="1"/>
  <c r="K7" i="11"/>
  <c r="K8" i="11"/>
  <c r="K38" i="11" s="1"/>
  <c r="K40" i="11"/>
  <c r="K41" i="11"/>
  <c r="K12" i="11"/>
  <c r="K42" i="11" s="1"/>
  <c r="K13" i="11"/>
  <c r="K43" i="11" s="1"/>
  <c r="K14" i="11"/>
  <c r="K15" i="11"/>
  <c r="K45" i="11" s="1"/>
  <c r="K16" i="11"/>
  <c r="K17" i="11"/>
  <c r="K47" i="11" s="1"/>
  <c r="K18" i="11"/>
  <c r="K48" i="11" s="1"/>
  <c r="K19" i="11"/>
  <c r="K20" i="11"/>
  <c r="K50" i="11" s="1"/>
  <c r="K21" i="11"/>
  <c r="K51" i="11" s="1"/>
  <c r="K22" i="11"/>
  <c r="K52" i="11" s="1"/>
  <c r="K23" i="11"/>
  <c r="K24" i="11"/>
  <c r="K25" i="11"/>
  <c r="K26" i="11"/>
  <c r="K56" i="11" s="1"/>
  <c r="K27" i="11"/>
  <c r="K5" i="11"/>
  <c r="K35" i="11" s="1"/>
  <c r="K6" i="11"/>
  <c r="K36" i="11" s="1"/>
  <c r="I5" i="11"/>
  <c r="I6" i="11"/>
  <c r="I7" i="11"/>
  <c r="I8" i="11"/>
  <c r="I9" i="11"/>
  <c r="I10" i="11"/>
  <c r="I11" i="11"/>
  <c r="I12" i="11"/>
  <c r="I13" i="11"/>
  <c r="I14" i="11"/>
  <c r="I15" i="11"/>
  <c r="I17" i="11"/>
  <c r="I18" i="11"/>
  <c r="I19" i="11"/>
  <c r="I20" i="11"/>
  <c r="I21" i="11"/>
  <c r="I22" i="11"/>
  <c r="I23" i="11"/>
  <c r="I24" i="11"/>
  <c r="I25" i="11"/>
  <c r="I27" i="11"/>
  <c r="I4" i="11"/>
  <c r="K49" i="11" l="1"/>
  <c r="K37" i="11"/>
  <c r="K57" i="11"/>
  <c r="K46" i="11"/>
  <c r="K55" i="11"/>
  <c r="K44" i="11"/>
  <c r="K53" i="11"/>
  <c r="K39" i="11"/>
  <c r="K54" i="11"/>
  <c r="J12" i="11"/>
  <c r="J42" i="11" s="1" a="1"/>
  <c r="J42" i="11" s="1"/>
  <c r="J22" i="11"/>
  <c r="J52" i="11" s="1" a="1"/>
  <c r="J52" i="11" s="1"/>
  <c r="J46" i="11" a="1"/>
  <c r="J46" i="11" s="1"/>
  <c r="J21" i="11"/>
  <c r="J51" i="11" s="1" a="1"/>
  <c r="J51" i="11" s="1"/>
  <c r="J40" i="11" a="1"/>
  <c r="J40" i="11" s="1"/>
  <c r="K34" i="11"/>
  <c r="J44" i="11" a="1"/>
  <c r="J44" i="11" s="1"/>
  <c r="J43" i="11" a="1"/>
  <c r="J43" i="11" s="1"/>
  <c r="J47" i="11" a="1"/>
  <c r="J47" i="11" s="1"/>
  <c r="J37" i="11" a="1"/>
  <c r="J37" i="11" s="1"/>
  <c r="J25" i="11"/>
  <c r="J55" i="11" s="1" a="1"/>
  <c r="J55" i="11" s="1"/>
  <c r="J27" i="11"/>
  <c r="J57" i="11" s="1" a="1"/>
  <c r="J57" i="11" s="1"/>
  <c r="J36" i="11" a="1"/>
  <c r="J36" i="11" s="1"/>
  <c r="J24" i="11"/>
  <c r="J54" i="11" s="1" a="1"/>
  <c r="J54" i="11" s="1"/>
  <c r="J26" i="11"/>
  <c r="J56" i="11" s="1" a="1"/>
  <c r="J56" i="11" s="1"/>
  <c r="J45" i="11" a="1"/>
  <c r="J45" i="11" s="1"/>
  <c r="J49" i="11" a="1"/>
  <c r="J49" i="11" s="1"/>
  <c r="B14" i="11"/>
  <c r="J41" i="11" l="1" a="1"/>
  <c r="J41" i="11" s="1"/>
  <c r="E17" i="11"/>
  <c r="D17" i="11"/>
  <c r="AC4" i="8"/>
  <c r="Q22" i="8"/>
  <c r="S22" i="8" s="1"/>
  <c r="E22" i="8"/>
  <c r="Q19" i="8"/>
  <c r="S19" i="8" s="1"/>
  <c r="E14" i="8"/>
  <c r="E12" i="8"/>
  <c r="AA10" i="8"/>
  <c r="AC8" i="8"/>
  <c r="Q8" i="8"/>
  <c r="S8" i="8" s="1"/>
  <c r="X5" i="8"/>
  <c r="AB4" i="8"/>
  <c r="AA4" i="8"/>
  <c r="Q4" i="8"/>
  <c r="S4" i="8" s="1"/>
  <c r="L18" i="11" l="1"/>
  <c r="J18" i="11"/>
  <c r="J48" i="11" s="1" a="1"/>
  <c r="J48" i="11" s="1"/>
  <c r="L5" i="11"/>
  <c r="J5" i="11"/>
  <c r="J35" i="11" s="1" a="1"/>
  <c r="J35" i="11" s="1"/>
  <c r="L9" i="11"/>
  <c r="J9" i="11"/>
  <c r="J39" i="11" s="1" a="1"/>
  <c r="J39" i="11" s="1"/>
  <c r="L20" i="11"/>
  <c r="J20" i="11"/>
  <c r="J38" i="11" s="1" a="1"/>
  <c r="J38" i="11" s="1"/>
  <c r="J23" i="11"/>
  <c r="J53" i="11" s="1" a="1"/>
  <c r="J53" i="11" s="1"/>
  <c r="B9" i="11"/>
  <c r="J50" i="11" l="1" a="1"/>
  <c r="J50" i="11" s="1"/>
  <c r="X4" i="16" l="1"/>
  <c r="W4" i="16"/>
  <c r="X7" i="16"/>
  <c r="W7" i="16"/>
  <c r="L34" i="11" l="1" a="1"/>
  <c r="L34" i="11" s="1"/>
  <c r="L51" i="11" a="1"/>
  <c r="L51" i="11" s="1"/>
  <c r="L45" i="11" a="1"/>
  <c r="L45" i="11" s="1"/>
  <c r="L46" i="11" a="1"/>
  <c r="L46" i="11" s="1"/>
  <c r="L54" i="11" a="1"/>
  <c r="L54" i="11" s="1"/>
  <c r="L57" i="11" a="1"/>
  <c r="L57" i="11" s="1"/>
  <c r="L52" i="11" a="1"/>
  <c r="L52" i="11" s="1"/>
  <c r="L47" i="11" a="1"/>
  <c r="L47" i="11" s="1"/>
  <c r="L44" i="11" a="1"/>
  <c r="L44" i="11" s="1"/>
  <c r="L55" i="11" a="1"/>
  <c r="L55" i="11" s="1"/>
  <c r="L37" i="11" a="1"/>
  <c r="L37" i="11" s="1"/>
  <c r="L40" i="11" a="1"/>
  <c r="L40" i="11" s="1"/>
  <c r="L43" i="11" a="1"/>
  <c r="L43" i="11" s="1"/>
  <c r="L56" i="11" a="1"/>
  <c r="L56" i="11" s="1"/>
  <c r="L36" i="11" a="1"/>
  <c r="L36" i="11" s="1"/>
  <c r="L49" i="11" a="1"/>
  <c r="L49" i="11" s="1"/>
  <c r="L42" i="11" a="1"/>
  <c r="L42" i="11" s="1"/>
  <c r="L38" i="11" a="1"/>
  <c r="L38" i="11" s="1"/>
  <c r="L41" i="11" a="1"/>
  <c r="L41" i="11" s="1"/>
  <c r="L53" i="11" a="1"/>
  <c r="L53" i="11" s="1"/>
  <c r="L39" i="11" a="1"/>
  <c r="L39" i="11" s="1"/>
  <c r="L35" i="11" a="1"/>
  <c r="L35" i="11" s="1"/>
  <c r="L50" i="11" a="1"/>
  <c r="L50" i="11" s="1"/>
  <c r="L48" i="11" a="1"/>
  <c r="L48" i="11" s="1"/>
  <c r="W21" i="8" l="1"/>
  <c r="W12" i="8"/>
  <c r="W19" i="8"/>
  <c r="W4" i="8"/>
  <c r="W23" i="8"/>
  <c r="W5" i="8"/>
  <c r="B16" i="11"/>
  <c r="B46" i="11" s="1" a="1"/>
  <c r="B46" i="11" s="1"/>
  <c r="W6" i="8"/>
  <c r="W15" i="8"/>
  <c r="W20" i="8"/>
  <c r="W22" i="8"/>
  <c r="B6" i="11"/>
  <c r="B36" i="11" s="1" a="1"/>
  <c r="B36" i="11" s="1"/>
  <c r="B22" i="11"/>
  <c r="B52" i="11" s="1" a="1"/>
  <c r="B52" i="11" s="1"/>
  <c r="B26" i="11"/>
  <c r="B56" i="11" s="1" a="1"/>
  <c r="B56" i="11" s="1"/>
  <c r="B17" i="11"/>
  <c r="B47" i="11" s="1" a="1"/>
  <c r="B47" i="11" s="1"/>
  <c r="B18" i="11"/>
  <c r="B7" i="11"/>
  <c r="B37" i="11" s="1" a="1"/>
  <c r="B37" i="11" s="1"/>
  <c r="B5" i="11"/>
  <c r="B35" i="11" s="1" a="1"/>
  <c r="B35" i="11" s="1"/>
  <c r="W9" i="8"/>
  <c r="W25" i="8"/>
  <c r="G26" i="11" s="1"/>
  <c r="B10" i="11"/>
  <c r="B11" i="11"/>
  <c r="B41" i="11" s="1" a="1"/>
  <c r="B41" i="11" s="1"/>
  <c r="B21" i="11"/>
  <c r="B51" i="11" s="1" a="1"/>
  <c r="B51" i="11" s="1"/>
  <c r="W8" i="8"/>
  <c r="B15" i="11"/>
  <c r="B45" i="11" s="1" a="1"/>
  <c r="B45" i="11" s="1"/>
  <c r="B8" i="11"/>
  <c r="B19" i="11"/>
  <c r="B49" i="11" s="1" a="1"/>
  <c r="B49" i="11" s="1"/>
  <c r="B23" i="11"/>
  <c r="B20" i="11"/>
  <c r="B50" i="11" s="1" a="1"/>
  <c r="B50" i="11" s="1"/>
  <c r="W10" i="8"/>
  <c r="W7" i="8"/>
  <c r="B13" i="11"/>
  <c r="B24" i="11"/>
  <c r="B54" i="11" s="1" a="1"/>
  <c r="B54" i="11" s="1"/>
  <c r="B25" i="11"/>
  <c r="B55" i="11" s="1" a="1"/>
  <c r="B55" i="11" s="1"/>
  <c r="B12" i="11"/>
  <c r="W24" i="8"/>
  <c r="W11" i="8"/>
  <c r="B43" i="11" l="1" a="1"/>
  <c r="B43" i="11" s="1"/>
  <c r="B48" i="11" a="1"/>
  <c r="B48" i="11" s="1"/>
  <c r="B34" i="11" a="1"/>
  <c r="B34" i="11" s="1"/>
  <c r="B42" i="11" a="1"/>
  <c r="B42" i="11" s="1"/>
  <c r="B53" i="11" a="1"/>
  <c r="B53" i="11" s="1"/>
  <c r="B39" i="11" a="1"/>
  <c r="B39" i="11" s="1"/>
  <c r="B40" i="11" a="1"/>
  <c r="B40" i="11" s="1"/>
  <c r="B38" i="11" a="1"/>
  <c r="B38" i="11" s="1"/>
  <c r="E9" i="11"/>
  <c r="D9" i="11"/>
  <c r="E19" i="11"/>
  <c r="D19" i="11"/>
  <c r="E13" i="11"/>
  <c r="D13" i="11"/>
  <c r="D6" i="11"/>
  <c r="E6" i="11"/>
  <c r="E8" i="11"/>
  <c r="D8" i="11"/>
  <c r="E14" i="11"/>
  <c r="D14" i="11"/>
  <c r="E15" i="11"/>
  <c r="D15" i="11"/>
  <c r="E11" i="11"/>
  <c r="D11" i="11"/>
  <c r="E23" i="11"/>
  <c r="D23" i="11"/>
  <c r="E24" i="11"/>
  <c r="D24" i="11"/>
  <c r="E22" i="11"/>
  <c r="D22" i="11"/>
  <c r="E25" i="11"/>
  <c r="D25" i="11"/>
  <c r="E21" i="11"/>
  <c r="D21" i="11"/>
  <c r="E26" i="11"/>
  <c r="D26" i="11"/>
  <c r="E16" i="11"/>
  <c r="D16" i="11"/>
  <c r="E7" i="11"/>
  <c r="D7" i="11"/>
  <c r="E18" i="11"/>
  <c r="D18" i="11"/>
  <c r="D10" i="11"/>
  <c r="E10" i="11"/>
  <c r="D20" i="11"/>
  <c r="E20" i="11"/>
  <c r="E12" i="11"/>
  <c r="D12" i="11"/>
  <c r="E5" i="11"/>
  <c r="D5" i="11"/>
  <c r="F21" i="11"/>
  <c r="H21" i="11"/>
  <c r="G21" i="11"/>
  <c r="F16" i="11"/>
  <c r="G16" i="11"/>
  <c r="H16" i="11"/>
  <c r="H24" i="11"/>
  <c r="F24" i="11"/>
  <c r="G24" i="11"/>
  <c r="H7" i="11"/>
  <c r="F7" i="11"/>
  <c r="G7" i="11"/>
  <c r="H22" i="11"/>
  <c r="G22" i="11"/>
  <c r="F22" i="11"/>
  <c r="F15" i="11"/>
  <c r="G15" i="11"/>
  <c r="H15" i="11"/>
  <c r="F9" i="11"/>
  <c r="G9" i="11"/>
  <c r="H9" i="11"/>
  <c r="F5" i="11"/>
  <c r="G5" i="11"/>
  <c r="H5" i="11"/>
  <c r="G17" i="11"/>
  <c r="H17" i="11"/>
  <c r="F17" i="11"/>
  <c r="F26" i="11"/>
  <c r="H26" i="11"/>
  <c r="H10" i="11"/>
  <c r="F10" i="11"/>
  <c r="G10" i="11"/>
  <c r="F6" i="11"/>
  <c r="G6" i="11"/>
  <c r="H6" i="11"/>
  <c r="F20" i="11"/>
  <c r="G20" i="11"/>
  <c r="H20" i="11"/>
  <c r="G12" i="11"/>
  <c r="H12" i="11"/>
  <c r="F12" i="11"/>
  <c r="G11" i="11"/>
  <c r="F11" i="11"/>
  <c r="H11" i="11"/>
  <c r="F23" i="11"/>
  <c r="G23" i="11"/>
  <c r="H23" i="11"/>
  <c r="G25" i="11"/>
  <c r="H25" i="11"/>
  <c r="F25" i="11"/>
  <c r="H18" i="11"/>
  <c r="F18" i="11"/>
  <c r="G18" i="11"/>
  <c r="F19" i="11"/>
  <c r="G19" i="11"/>
  <c r="H19" i="11"/>
  <c r="F14" i="11"/>
  <c r="G14" i="11"/>
  <c r="H14" i="11"/>
  <c r="F13" i="11"/>
  <c r="G13" i="11"/>
  <c r="H13" i="11"/>
  <c r="F8" i="11"/>
  <c r="G8" i="11"/>
  <c r="H8" i="11"/>
  <c r="H4" i="11"/>
  <c r="G4" i="11"/>
  <c r="F4" i="11"/>
  <c r="W26" i="8"/>
  <c r="B27" i="11"/>
  <c r="C4" i="11" l="1" a="1"/>
  <c r="C4" i="11" s="1"/>
  <c r="B57" i="11" a="1"/>
  <c r="B57" i="11" s="1"/>
  <c r="B44" i="11" a="1"/>
  <c r="B44" i="11" s="1"/>
  <c r="E27" i="11"/>
  <c r="D27" i="11"/>
  <c r="C20" i="11" a="1"/>
  <c r="C20" i="11" s="1"/>
  <c r="C9" i="11" a="1"/>
  <c r="C9" i="11" s="1"/>
  <c r="C39" i="11" s="1"/>
  <c r="C21" i="11" a="1"/>
  <c r="C21" i="11" s="1"/>
  <c r="C51" i="11" s="1"/>
  <c r="C6" i="11" a="1"/>
  <c r="C6" i="11" s="1"/>
  <c r="C5" i="11" a="1"/>
  <c r="C5" i="11" s="1"/>
  <c r="C12" i="11" a="1"/>
  <c r="C12" i="11" s="1"/>
  <c r="C15" i="11" a="1"/>
  <c r="C15" i="11" s="1"/>
  <c r="C45" i="11" s="1"/>
  <c r="C26" i="11" a="1"/>
  <c r="C26" i="11" s="1"/>
  <c r="C56" i="11" s="1"/>
  <c r="C7" i="11" a="1"/>
  <c r="C7" i="11" s="1"/>
  <c r="C37" i="11" s="1"/>
  <c r="C24" i="11" a="1"/>
  <c r="C24" i="11" s="1"/>
  <c r="C54" i="11" s="1"/>
  <c r="C14" i="11" a="1"/>
  <c r="C14" i="11" s="1"/>
  <c r="C8" i="11" a="1"/>
  <c r="C8" i="11" s="1"/>
  <c r="C23" i="11" a="1"/>
  <c r="C23" i="11" s="1"/>
  <c r="F27" i="11"/>
  <c r="G27" i="11"/>
  <c r="H27" i="11"/>
  <c r="C25" i="11" a="1"/>
  <c r="C25" i="11" s="1"/>
  <c r="C55" i="11" s="1"/>
  <c r="C18" i="11" a="1"/>
  <c r="C18" i="11" s="1"/>
  <c r="C48" i="11" s="1"/>
  <c r="C13" i="11" a="1"/>
  <c r="C13" i="11" s="1"/>
  <c r="C11" i="11" a="1"/>
  <c r="C11" i="11" s="1"/>
  <c r="C16" i="11" a="1"/>
  <c r="C16" i="11" s="1"/>
  <c r="C17" i="11" a="1"/>
  <c r="C17" i="11" s="1"/>
  <c r="C22" i="11" a="1"/>
  <c r="C22" i="11" s="1"/>
  <c r="C52" i="11" s="1"/>
  <c r="C19" i="11" a="1"/>
  <c r="C19" i="11" s="1"/>
  <c r="C49" i="11" s="1"/>
  <c r="C10" i="11" a="1"/>
  <c r="C10" i="11" s="1"/>
  <c r="C40" i="11" s="1"/>
  <c r="K5" i="20" l="1"/>
  <c r="C50" i="11"/>
  <c r="C42" i="11"/>
  <c r="C47" i="11"/>
  <c r="C46" i="11"/>
  <c r="C53" i="11"/>
  <c r="C34" i="11"/>
  <c r="C41" i="11"/>
  <c r="C38" i="11"/>
  <c r="C35" i="11"/>
  <c r="C43" i="11"/>
  <c r="C36" i="11"/>
  <c r="C27" i="11" a="1"/>
  <c r="C27" i="11" s="1"/>
  <c r="C57" i="11" s="1"/>
  <c r="C44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tc={A8133861-6C10-450A-BA39-E762447CC0FA}</author>
  </authors>
  <commentList>
    <comment ref="AL8" authorId="0" shapeId="0" xr:uid="{A8133861-6C10-450A-BA39-E762447CC0FA}">
      <text>
        <t>[Threaded comment]
Your version of Excel allows you to read this threaded comment; however, any edits to it will get removed if the file is opened in a newer version of Excel. Learn more: https://go.microsoft.com/fwlink/?linkid=870924
Comment:
    C'è una sola misura di temperatura nel mese di dicembre, a parere mio non è un dato valido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tc={DD324032-7973-46D1-8986-6596A750713A}</author>
    <author>tc={EE8A284F-203C-41EB-8173-50A64EC3A3BA}</author>
    <author>tc={18861BBA-2228-4AB3-8206-6CC15AF5A793}</author>
    <author>tc={6E9ED14F-364D-4A49-9FE8-ABF5E34BD89C}</author>
    <author>tc={EF76D562-4594-4807-959B-F14D6AED305D}</author>
    <author>tc={582853D4-D643-49CD-8E6A-233A558CD2F6}</author>
  </authors>
  <commentList>
    <comment ref="K2" authorId="0" shapeId="0" xr:uid="{DD324032-7973-46D1-8986-6596A750713A}">
      <text>
        <t>[Threaded comment]
Your version of Excel allows you to read this threaded comment; however, any edits to it will get removed if the file is opened in a newer version of Excel. Learn more: https://go.microsoft.com/fwlink/?linkid=870924
Comment:
    Rapporto tra acqua recuperata e acqua trattata da ITAR</t>
      </text>
    </comment>
    <comment ref="M2" authorId="1" shapeId="0" xr:uid="{EE8A284F-203C-41EB-8173-50A64EC3A3BA}">
      <text>
        <t>[Threaded comment]
Your version of Excel allows you to read this threaded comment; however, any edits to it will get removed if the file is opened in a newer version of Excel. Learn more: https://go.microsoft.com/fwlink/?linkid=870924
Comment:
    Inteso come Delta T = T max - T scarico.
Maggiore è il delta meglio è.</t>
      </text>
    </comment>
    <comment ref="J17" authorId="2" shapeId="0" xr:uid="{18861BBA-2228-4AB3-8206-6CC15AF5A793}">
      <text>
        <t>[Threaded comment]
Your version of Excel allows you to read this threaded comment; however, any edits to it will get removed if the file is opened in a newer version of Excel. Learn more: https://go.microsoft.com/fwlink/?linkid=870924
Comment:
    Non c’è il dato di acqua scaricata in corpo superficiale, quindi non si considera acqua scaricata in mare. La formula è stata cambiata di conseguenza</t>
      </text>
    </comment>
    <comment ref="N21" authorId="3" shapeId="0" xr:uid="{6E9ED14F-364D-4A49-9FE8-ABF5E34BD89C}">
      <text>
        <t>[Threaded comment]
Your version of Excel allows you to read this threaded comment; however, any edits to it will get removed if the file is opened in a newer version of Excel. Learn more: https://go.microsoft.com/fwlink/?linkid=870924
Comment:
    Dati del 2023-2024</t>
      </text>
    </comment>
    <comment ref="K33" authorId="4" shapeId="0" xr:uid="{EF76D562-4594-4807-959B-F14D6AED305D}">
      <text>
        <t>[Threaded comment]
Your version of Excel allows you to read this threaded comment; however, any edits to it will get removed if the file is opened in a newer version of Excel. Learn more: https://go.microsoft.com/fwlink/?linkid=870924
Comment:
    Rapporto tra acqua recuperata e acqua trattata da ITAR</t>
      </text>
    </comment>
    <comment ref="M33" authorId="5" shapeId="0" xr:uid="{582853D4-D643-49CD-8E6A-233A558CD2F6}">
      <text>
        <t>[Threaded comment]
Your version of Excel allows you to read this threaded comment; however, any edits to it will get removed if the file is opened in a newer version of Excel. Learn more: https://go.microsoft.com/fwlink/?linkid=870924
Comment:
    Inteso come Delta T = T max - T scarico.
Maggiore è il delta meglio è.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tc={3EB87D14-A1EE-4B4F-BD99-11FF89303B96}</author>
  </authors>
  <commentList>
    <comment ref="Y2" authorId="0" shapeId="0" xr:uid="{3EB87D14-A1EE-4B4F-BD99-11FF89303B96}">
      <text>
        <t>[Threaded comment]
Your version of Excel allows you to read this threaded comment; however, any edits to it will get removed if the file is opened in a newer version of Excel. Learn more: https://go.microsoft.com/fwlink/?linkid=870924
Comment:
    T media acqua scaricata= 35°- x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tc={9694E9CB-3F22-4675-A4D8-6BA10F863FC2}</author>
    <author>tc={C3FEBAEE-1311-4454-B4AB-CC4F327E6B60}</author>
  </authors>
  <commentList>
    <comment ref="G4" authorId="0" shapeId="0" xr:uid="{9694E9CB-3F22-4675-A4D8-6BA10F863FC2}">
      <text>
        <t>[Threaded comment]
Your version of Excel allows you to read this threaded comment; however, any edits to it will get removed if the file is opened in a newer version of Excel. Learn more: https://go.microsoft.com/fwlink/?linkid=870924
Comment:
    Rapporto tra acqua recuperata e acqua trattata da ITAR</t>
      </text>
    </comment>
    <comment ref="I4" authorId="1" shapeId="0" xr:uid="{C3FEBAEE-1311-4454-B4AB-CC4F327E6B60}">
      <text>
        <t>[Threaded comment]
Your version of Excel allows you to read this threaded comment; however, any edits to it will get removed if the file is opened in a newer version of Excel. Learn more: https://go.microsoft.com/fwlink/?linkid=870924
Comment:
    Inteso come Delta T = T max - T scarico.
Maggiore è il delta meglio è.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<sst xmlns="http://schemas.openxmlformats.org/spreadsheetml/2006/main" count="541" uniqueCount="227">
  <si>
    <t>VARIABILE</t>
  </si>
  <si>
    <t>Comune</t>
  </si>
  <si>
    <t>Water scarcity</t>
  </si>
  <si>
    <t>Tipo di combustibile</t>
  </si>
  <si>
    <t>Potenza elettrica</t>
  </si>
  <si>
    <t>Potenza termica</t>
  </si>
  <si>
    <t>Ciclo combinato</t>
  </si>
  <si>
    <t>Cogenerazione</t>
  </si>
  <si>
    <t>Tipo di raffreddamento</t>
  </si>
  <si>
    <t>Tipo di circuito</t>
  </si>
  <si>
    <t xml:space="preserve">Energia Elettrica Lorda </t>
  </si>
  <si>
    <t>Energia Elettrica Netta</t>
  </si>
  <si>
    <t>Energia termica fornita</t>
  </si>
  <si>
    <t>Di falda</t>
  </si>
  <si>
    <t>Da acquedotto</t>
  </si>
  <si>
    <t>Da lago</t>
  </si>
  <si>
    <t>Da fiume/canale</t>
  </si>
  <si>
    <t>Da pozzo</t>
  </si>
  <si>
    <t>Da pioggia</t>
  </si>
  <si>
    <t>Da mare</t>
  </si>
  <si>
    <t>Acqua di secondo utilizzo</t>
  </si>
  <si>
    <t>Totale acqua prelevata</t>
  </si>
  <si>
    <t>Acqua recuperata</t>
  </si>
  <si>
    <t>acqua demineralizzata</t>
  </si>
  <si>
    <t>per raffreddamento</t>
  </si>
  <si>
    <t>Scarichi in corpo idrico superficiale da raffreddamento</t>
  </si>
  <si>
    <t>Acqua scaricata in fiume/canale</t>
  </si>
  <si>
    <t>Acqua scaricata in mare</t>
  </si>
  <si>
    <t>Acqua processata da ITAR</t>
  </si>
  <si>
    <t>Acque reflue industriali</t>
  </si>
  <si>
    <t>Acque meteorica scaricata</t>
  </si>
  <si>
    <t>Acque reflue dagli scarichi</t>
  </si>
  <si>
    <t>Acque di processo cedute ad altri impianti</t>
  </si>
  <si>
    <t>Totale acque reflue</t>
  </si>
  <si>
    <t>u.m.</t>
  </si>
  <si>
    <t>Mwe</t>
  </si>
  <si>
    <t>MWt</t>
  </si>
  <si>
    <t>MWh</t>
  </si>
  <si>
    <t>m^3</t>
  </si>
  <si>
    <t>Cassano</t>
  </si>
  <si>
    <t>Cassano d'Adda (MI)</t>
  </si>
  <si>
    <t>Gas Naturale</t>
  </si>
  <si>
    <t>sì</t>
  </si>
  <si>
    <t>no</t>
  </si>
  <si>
    <t>ad acqua</t>
  </si>
  <si>
    <t>open loop</t>
  </si>
  <si>
    <t>Chivasso</t>
  </si>
  <si>
    <t>Chivasso (To)</t>
  </si>
  <si>
    <t>Gissi</t>
  </si>
  <si>
    <t>Gissi (CH)</t>
  </si>
  <si>
    <t>ad aria</t>
  </si>
  <si>
    <t>dry</t>
  </si>
  <si>
    <t>Mincio</t>
  </si>
  <si>
    <t>Ponti sul Mincio (MN)</t>
  </si>
  <si>
    <t>Monfalcone</t>
  </si>
  <si>
    <t>Monfalcone (GO)</t>
  </si>
  <si>
    <t>Carbone</t>
  </si>
  <si>
    <t>na</t>
  </si>
  <si>
    <t>Sermide</t>
  </si>
  <si>
    <t>Sermide e Felonica (MN)</t>
  </si>
  <si>
    <t>Piacenza</t>
  </si>
  <si>
    <t>Novel</t>
  </si>
  <si>
    <t>Novara</t>
  </si>
  <si>
    <t>torri evaporative wet dry</t>
  </si>
  <si>
    <t>hybrid</t>
  </si>
  <si>
    <t>torre evaporativa</t>
  </si>
  <si>
    <t>?</t>
  </si>
  <si>
    <t>La Casella</t>
  </si>
  <si>
    <t>Castel San Giovanni (PC)</t>
  </si>
  <si>
    <t>Santa Barbara</t>
  </si>
  <si>
    <t>Cavrilia</t>
  </si>
  <si>
    <t>Gas naturale</t>
  </si>
  <si>
    <t>Torrevaldaliga Nord</t>
  </si>
  <si>
    <t>Civitavecchia</t>
  </si>
  <si>
    <t>Pietrafitta</t>
  </si>
  <si>
    <t>Perugia</t>
  </si>
  <si>
    <t>torri di raffreddamento</t>
  </si>
  <si>
    <t>Archimede</t>
  </si>
  <si>
    <t>Priolo Gargallo</t>
  </si>
  <si>
    <t>Federico II</t>
  </si>
  <si>
    <t>Brindisi</t>
  </si>
  <si>
    <t>Leinì</t>
  </si>
  <si>
    <t>Voghera</t>
  </si>
  <si>
    <t>Moncalieri</t>
  </si>
  <si>
    <t>Reggio Emilia</t>
  </si>
  <si>
    <t>Torino Nord</t>
  </si>
  <si>
    <t>Turbigo</t>
  </si>
  <si>
    <t>Aprilia</t>
  </si>
  <si>
    <t>Lodi</t>
  </si>
  <si>
    <t>Modugno</t>
  </si>
  <si>
    <t>Termoli</t>
  </si>
  <si>
    <t>Dati e metodologia per ricavare l'Indice di circolarità dell'acqua (Ic) per impianti termoelettrici</t>
  </si>
  <si>
    <t>2022_DATI</t>
  </si>
  <si>
    <t>Nel foglio '2022_DATI' sono riportati i dati impiegati per il calcolo dell'Ic. I dati sono stati presi dalle Dichiarazioni Ambientali di ciascun impianto considerato e, dove necessario, integrati coi dati riportati nei Rapporti Annuali.</t>
  </si>
  <si>
    <t>I nomi delle grandezze riportate sono presi tali e quali dalle relazioni consultate. In alcuni casi è stato necessario interpretare quanto riportato nelle Dichiarazioni Ambientali. Si riportano di seguito le definizioni principali utilizzate nella definizione dell'indice e dei fattori stessi:</t>
  </si>
  <si>
    <t xml:space="preserve">"Freshwater" (acqua dolce): </t>
  </si>
  <si>
    <t>si intende la somma dell'acqua prelevata da: acquedotto, fiume/canale, lago, pozzo.</t>
  </si>
  <si>
    <t xml:space="preserve">"Acqua di secondo utilizzo": </t>
  </si>
  <si>
    <t>si è intende l'acqua già impiegata da altre strutture, opportunamente trattata dalle stesse e fornite all'impianto termoelettrico considerato.</t>
  </si>
  <si>
    <t xml:space="preserve">"Acqua recuperata": </t>
  </si>
  <si>
    <t>si intende l'acqua che viene trattata dall'ITAR, all'interno dell'impianto termoelettrico, e che viene impiegata nei processi dell'impianto.</t>
  </si>
  <si>
    <t xml:space="preserve">"Totale acqua prelevata": </t>
  </si>
  <si>
    <t>si intende la somma di freshwater , acqua piovana, acqua di mare e acqua di secondo utilizzo​.</t>
  </si>
  <si>
    <t xml:space="preserve">"Reclaimed water": </t>
  </si>
  <si>
    <t>si intende la somma di acqua recuperata e acqua di secondo utilizzo​.</t>
  </si>
  <si>
    <t xml:space="preserve">"Consumo di acqua": </t>
  </si>
  <si>
    <r>
      <rPr>
        <sz val="11"/>
        <color rgb="FF000000"/>
        <rFont val="Calibri"/>
        <family val="2"/>
      </rPr>
      <t xml:space="preserve">si intende il risultato della formula </t>
    </r>
    <r>
      <rPr>
        <i/>
        <sz val="11"/>
        <color rgb="FF000000"/>
        <rFont val="Calibri"/>
        <family val="2"/>
      </rPr>
      <t>freshwater-(scarichi in corpo superficiale-acqua scaricata in mare)</t>
    </r>
  </si>
  <si>
    <t xml:space="preserve">"Energia generata": </t>
  </si>
  <si>
    <r>
      <rPr>
        <sz val="11"/>
        <color rgb="FF000000"/>
        <rFont val="Calibri"/>
        <family val="2"/>
      </rPr>
      <t xml:space="preserve">si intende il risultato della formula </t>
    </r>
    <r>
      <rPr>
        <i/>
        <sz val="11"/>
        <color rgb="FF000000"/>
        <rFont val="Calibri"/>
        <family val="2"/>
      </rPr>
      <t>Energia elettrica + 0,2671 Energia termica​</t>
    </r>
  </si>
  <si>
    <t xml:space="preserve">"Internal reuse rate of treated water": </t>
  </si>
  <si>
    <r>
      <rPr>
        <sz val="11"/>
        <color rgb="FF000000"/>
        <rFont val="Calibri"/>
        <family val="2"/>
      </rPr>
      <t xml:space="preserve">si intende il risultato della formula </t>
    </r>
    <r>
      <rPr>
        <i/>
        <sz val="11"/>
        <color rgb="FF000000"/>
        <rFont val="Calibri"/>
        <family val="2"/>
      </rPr>
      <t>acqua recuperata / acqua processata da ITAR</t>
    </r>
  </si>
  <si>
    <t xml:space="preserve">"Totale acque reflue": </t>
  </si>
  <si>
    <r>
      <rPr>
        <sz val="11"/>
        <color rgb="FF000000"/>
        <rFont val="Calibri"/>
        <family val="2"/>
      </rPr>
      <t>si intende il risultato della formula (</t>
    </r>
    <r>
      <rPr>
        <i/>
        <sz val="11"/>
        <color rgb="FF000000"/>
        <rFont val="Calibri"/>
        <family val="2"/>
      </rPr>
      <t>acqua processata da ITAR con relativo scarico+acque reflue industriali+acque meteoriche scaricate+spurgo da torre evaporativa) – acqua recuperata​</t>
    </r>
  </si>
  <si>
    <t xml:space="preserve">"Water consumption rate": </t>
  </si>
  <si>
    <r>
      <rPr>
        <sz val="11"/>
        <color rgb="FF000000"/>
        <rFont val="Calibri"/>
        <family val="2"/>
      </rPr>
      <t xml:space="preserve">si intende il risultato della formula </t>
    </r>
    <r>
      <rPr>
        <i/>
        <sz val="11"/>
        <color rgb="FF000000"/>
        <rFont val="Calibri"/>
        <family val="2"/>
      </rPr>
      <t>Totale acque reflue/(Freshwater – acqua scaricata in fiume/canale) (%)​</t>
    </r>
  </si>
  <si>
    <t xml:space="preserve">"Effluent discharge volume": </t>
  </si>
  <si>
    <r>
      <rPr>
        <sz val="11"/>
        <color rgb="FF000000"/>
        <rFont val="Calibri"/>
        <family val="2"/>
      </rPr>
      <t xml:space="preserve">si intende il risultato della formula </t>
    </r>
    <r>
      <rPr>
        <i/>
        <sz val="11"/>
        <color rgb="FF000000"/>
        <rFont val="Calibri"/>
        <family val="2"/>
      </rPr>
      <t>totale acque reflue / totale acqua prelevata (%)​</t>
    </r>
  </si>
  <si>
    <t>Il foglio "P2022" contiene due tabelle. La tabella in cima riporta le "performance" di ciascun impianto nei diversi fattori-chiave considerati nell'Ic.</t>
  </si>
  <si>
    <t>La tabella sottostante riporta i "punteggi" conseguiti da ciascun impianto nei medesimi fattori-chiave. I punteggi sono generalmente in una scala da 0 (pessima circolarità dell'acqua) a 100 (ottima circolarità dell'acqua).</t>
  </si>
  <si>
    <t>L'approccio comunemente impiegato è stato:</t>
  </si>
  <si>
    <t>1. identificare dei valori-soglia delle performances di tutti gli impianti</t>
  </si>
  <si>
    <t xml:space="preserve">2. assegnare 100 punti al valore-soglia migliore, 0 punti al peggiore. </t>
  </si>
  <si>
    <t>3. si assegnano punteggi intermedi ai valori-soglia successivi.</t>
  </si>
  <si>
    <t xml:space="preserve"> (m3/MW installed/year)</t>
  </si>
  <si>
    <t>A titolo di esempio: per il fattore-chiave 1: "Total freshwater withdrawal", si sono individuati i valori-soglia della tabella di sinistra.</t>
  </si>
  <si>
    <t>Performance</t>
  </si>
  <si>
    <t>valore</t>
  </si>
  <si>
    <t>In prima battuta ci si è chiesto: se il prelievo è di 100m3/MW/year, sapendo che 0 corrisponde a 100 punti, quanti punti bisognerebbe attribuire a un impianto con tale valore di prelievo?</t>
  </si>
  <si>
    <t>La risposta è stata determinata come: 85 punti</t>
  </si>
  <si>
    <t>Successivamente si è considerato il valore-soglia successivo: 900m3/MW/year</t>
  </si>
  <si>
    <r>
      <t xml:space="preserve">Alla medesima domanda ci si è data la seguente risposta: </t>
    </r>
    <r>
      <rPr>
        <b/>
        <sz val="11"/>
        <color rgb="FFC00000"/>
        <rFont val="Calibri"/>
        <family val="2"/>
        <scheme val="minor"/>
      </rPr>
      <t>70</t>
    </r>
    <r>
      <rPr>
        <sz val="11"/>
        <color rgb="FFC00000"/>
        <rFont val="Calibri"/>
        <family val="2"/>
        <scheme val="minor"/>
      </rPr>
      <t xml:space="preserve"> punti</t>
    </r>
    <r>
      <rPr>
        <sz val="11"/>
        <color theme="1"/>
        <rFont val="Calibri"/>
        <family val="2"/>
        <scheme val="minor"/>
      </rPr>
      <t>.</t>
    </r>
  </si>
  <si>
    <t>Immediatamente è cominciato un processo di validazione, che si è ripetuto per ogni successivo valore-soglia. Tale processo si è svolto così:</t>
  </si>
  <si>
    <t>"Si sono attribuiti 85 punti per un consumo di 100m3/MW/anno e 70 punti per un consumo di 900m3/MW/year."</t>
  </si>
  <si>
    <t>"Questo significa che, tra un consumo di 0m3/MW/anno e 100m3/MW/anno, vi è la stessa differenza in circolarità dell'uso dell'acqua rispetto  a un consumo di 100m3/MW/anno e 900m3/MW/anno.</t>
  </si>
  <si>
    <t>In altre parole: se potessi modificare un impianto in modo tale che il suo consumo specifico d'acqua si riduca da 900m3/MW</t>
  </si>
  <si>
    <t>Nel foglio "V2022" sono riportate le funzioni che associano il punteggio a ciascuna performance. Tali "funzioni di valore" sono state costruite attraverso il metodo del consenso tra i membri del gruppo di lavoro che ha sviluppato tale indice.</t>
  </si>
  <si>
    <t>In questo foglio, in sede di validazione, possono essere modificati i valori degli intervalli (tanto per i descrittori di performance quanto per i punteggi attribuiti). In prima battuta si chiede quindi di validare le decisioni prese per quanto riguarda le funzioni di valore.</t>
  </si>
  <si>
    <t>Nel foglio "W2022" è riportata la tabella per ricavare i pesi di ciascun fattore-chiave. Per ricavare i pesi è inizialmente chiesto di rispondere alla domanda della cella D4, ossia di creare un ordine gerarchico di sottofattori in termini di contributo alla circolarità.</t>
  </si>
  <si>
    <t>Una volta ordinati i fattori chiave, si assegna convenzionalmente un punteggio di 100 al primo fattore chiave selezionato. Progressivamente, per ciascun FC, ci si pone la seguente domanda: "Sapendo che il primo FC ha un peso di 100, quanto peso daresti a questo FC, immaginando di poter migliorare la performance di un impianto fittizio dal suo livello peggiore al suo livello migliore?"</t>
  </si>
  <si>
    <t>Acqua per uso civile</t>
  </si>
  <si>
    <t>Rank source types: 1) Reclaimed/wastewater, 2) Rainwater, 3) Seawater, 4) Groundwater, 5) Surface water</t>
  </si>
  <si>
    <t xml:space="preserve"> (m3/MWh)</t>
  </si>
  <si>
    <t xml:space="preserve"> (%)</t>
  </si>
  <si>
    <t xml:space="preserve"> (°C)</t>
  </si>
  <si>
    <t>Spurgo da torre evap</t>
  </si>
  <si>
    <t>Temperatura acqua di scarico</t>
  </si>
  <si>
    <t>Dati su inquinanti?</t>
  </si>
  <si>
    <t>°C</t>
  </si>
  <si>
    <t>Sì</t>
  </si>
  <si>
    <t>-</t>
  </si>
  <si>
    <t>nd</t>
  </si>
  <si>
    <t>no*</t>
  </si>
  <si>
    <t>Impianto</t>
  </si>
  <si>
    <t>PUNTEGGI (VALORI ATTRIBUITI)</t>
  </si>
  <si>
    <t>range</t>
  </si>
  <si>
    <t>m</t>
  </si>
  <si>
    <t>q</t>
  </si>
  <si>
    <t>Valore</t>
  </si>
  <si>
    <t>Prima assegnazione: valori assegnati da noi</t>
  </si>
  <si>
    <t>0-7</t>
  </si>
  <si>
    <t>100-85</t>
  </si>
  <si>
    <t>90-100</t>
  </si>
  <si>
    <t>85-100</t>
  </si>
  <si>
    <t>7-10</t>
  </si>
  <si>
    <t>85-70</t>
  </si>
  <si>
    <t>70-90</t>
  </si>
  <si>
    <t>65-80</t>
  </si>
  <si>
    <t>10-12</t>
  </si>
  <si>
    <t>70-50</t>
  </si>
  <si>
    <t>40-70</t>
  </si>
  <si>
    <t>40-65</t>
  </si>
  <si>
    <t>12-15</t>
  </si>
  <si>
    <t>50-25</t>
  </si>
  <si>
    <t>10-40</t>
  </si>
  <si>
    <t>0-40</t>
  </si>
  <si>
    <t>15+</t>
  </si>
  <si>
    <t>&gt;15</t>
  </si>
  <si>
    <t>25-0</t>
  </si>
  <si>
    <t xml:space="preserve">normalizzazione </t>
  </si>
  <si>
    <t>10-0</t>
  </si>
  <si>
    <t>&gt;=5</t>
  </si>
  <si>
    <t>In questo fattore-chiave, l'attribuzione iniziale dei punteggi (celle G4:K4) è stata fatta nel modo seguente:</t>
  </si>
  <si>
    <t>Q: Se un impianto impiegasse soltanto reclaimed/wastewater, quanti punti gli attribuiremmo?
A: 100</t>
  </si>
  <si>
    <t>Q: Dato che l'impiantocon il 100% di reclaimed/wastewater avrebbe 100 punti, quanti punti daremmo se l'impianto operasse con solamente seawater?
A: 90</t>
  </si>
  <si>
    <t>Si prosegue in questo modo, avendo cura di validare continuamente che le distanze tra i punteggi rispecchino una differenza di circolarità.</t>
  </si>
  <si>
    <t>Premessa:</t>
  </si>
  <si>
    <t>Fattore-chiave</t>
  </si>
  <si>
    <t>PESI RISULTANTI</t>
  </si>
  <si>
    <t>Nullo</t>
  </si>
  <si>
    <t>Attenzione</t>
  </si>
  <si>
    <t>Allarme</t>
  </si>
  <si>
    <t>Pericolo</t>
  </si>
  <si>
    <t>Prelievo totale di acqua dolce
(m3/anno)</t>
  </si>
  <si>
    <t>Tipo di acqua impiegata</t>
  </si>
  <si>
    <t>Livello di stress idrico</t>
  </si>
  <si>
    <t>Recuperata /
secondo utilizzo</t>
  </si>
  <si>
    <t>Piovana</t>
  </si>
  <si>
    <t>Marina</t>
  </si>
  <si>
    <t>Superficiale</t>
  </si>
  <si>
    <t>Consumo idrico per MWh generato</t>
  </si>
  <si>
    <t>Tasso di riuso interno dell'acqua trattata</t>
  </si>
  <si>
    <t>Tasso di consumo idrico</t>
  </si>
  <si>
    <t>Gestione dello scarico termico (delta di temperatura)</t>
  </si>
  <si>
    <t>Inquinanti negli effluenti</t>
  </si>
  <si>
    <t>FUNZIONI DI UTILITA'</t>
  </si>
  <si>
    <t>(https://drought.emergency.copernicus.eu/tumbo/edo/map/&gt;)</t>
  </si>
  <si>
    <t>Consumo idrico per MWh generato
(m3/MWh/anno)</t>
  </si>
  <si>
    <t>Prelievo specifico totale di acqua dolce</t>
  </si>
  <si>
    <t>SF1</t>
  </si>
  <si>
    <t>SF2</t>
  </si>
  <si>
    <t>SF3</t>
  </si>
  <si>
    <t>SF4</t>
  </si>
  <si>
    <t>SF5</t>
  </si>
  <si>
    <t>SF6</t>
  </si>
  <si>
    <t>SF7</t>
  </si>
  <si>
    <t>Numero di inquinanti la cui concentrazione annua è maggiore o uguale al 50% del limite AIA</t>
  </si>
  <si>
    <t>Gestione dello scarico termico
(delta di temperatua)</t>
  </si>
  <si>
    <t>#</t>
  </si>
  <si>
    <t>INDICE DI CIRCOLARITA'</t>
  </si>
  <si>
    <t xml:space="preserve"> (m3/MW installato/year)</t>
  </si>
  <si>
    <t>Si immagini di avere un impianto con le caratteristiche peggiori in tutti i fattori.</t>
  </si>
  <si>
    <t>Se potessi trasformare la performance di questo impianto fittizio da pessimo a ottimo in un solo sottofattore, quale sceglieresti?
Escludendo quello che hai appena scelto, quale miglioreresti in seguito?
Inserire un numero da 1 a 7 per ciascun SF</t>
  </si>
  <si>
    <t>In che misura quantificheresti l'oscillazione dal livello peggiore al livello migliore di performance nel SF#, sapendo che è stato assegnato un peso di 100 all'oscillazione dal livello peggiore a quello migliore nel primo sottofattore?
Attribuire 100 alla prima scelta</t>
  </si>
  <si>
    <t>Acqua dolce</t>
  </si>
  <si>
    <t>PUNTEGGI</t>
  </si>
  <si>
    <t>PESI</t>
  </si>
  <si>
    <t>NOME IMPIANTO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</si>
</sst>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.000%"/>
    <numFmt numFmtId="165" formatCode="_-* #,##0.000_-;\-* #,##0.000_-;_-* &quot;-&quot;??_-;_-@_-"/>
    <numFmt numFmtId="166" formatCode="_-* #,##0_-;\-* #,##0_-;_-* &quot;-&quot;??_-;_-@_-"/>
    <numFmt numFmtId="167" formatCode="0.0000"/>
    <numFmt numFmtId="168" formatCode="0.00000"/>
    <numFmt numFmtId="169" formatCode="0.0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72727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CB9FF"/>
        <bgColor indexed="64"/>
      </patternFill>
    </fill>
    <fill>
      <patternFill patternType="solid">
        <fgColor rgb="FFABBFFF"/>
        <bgColor indexed="64"/>
      </patternFill>
    </fill>
    <fill>
      <patternFill patternType="solid">
        <fgColor rgb="FFB9F2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245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top"/>
    </xf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2" fontId="0" fillId="0" borderId="0" xfId="0" applyNumberFormat="1"/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 wrapText="1"/>
    </xf>
    <xf numFmtId="0" fontId="0" fillId="0" borderId="4" xfId="0" applyBorder="1"/>
    <xf numFmtId="0" fontId="0" fillId="0" borderId="12" xfId="0" applyBorder="1"/>
    <xf numFmtId="0" fontId="0" fillId="0" borderId="6" xfId="0" applyBorder="1"/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43" fontId="0" fillId="0" borderId="3" xfId="1" applyFont="1" applyBorder="1"/>
    <xf numFmtId="43" fontId="0" fillId="0" borderId="0" xfId="1" applyFont="1"/>
    <xf numFmtId="43" fontId="0" fillId="0" borderId="0" xfId="1" applyFont="1" applyAlignment="1">
      <alignment horizontal="left" vertical="center"/>
    </xf>
    <xf numFmtId="43" fontId="5" fillId="0" borderId="0" xfId="1" applyFont="1" applyAlignment="1">
      <alignment horizontal="left" vertical="top" shrinkToFit="1"/>
    </xf>
    <xf numFmtId="43" fontId="0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top" shrinkToFit="1"/>
    </xf>
    <xf numFmtId="43" fontId="1" fillId="9" borderId="0" xfId="1" applyFont="1" applyFill="1"/>
    <xf numFmtId="43" fontId="1" fillId="9" borderId="0" xfId="1" applyFont="1" applyFill="1" applyAlignment="1">
      <alignment horizontal="left" vertical="center"/>
    </xf>
    <xf numFmtId="43" fontId="0" fillId="0" borderId="0" xfId="1" applyFont="1" applyAlignment="1">
      <alignment horizontal="right" vertical="center"/>
    </xf>
    <xf numFmtId="43" fontId="0" fillId="0" borderId="0" xfId="1" applyFont="1" applyAlignment="1">
      <alignment horizontal="center"/>
    </xf>
    <xf numFmtId="43" fontId="0" fillId="9" borderId="0" xfId="1" applyFont="1" applyFill="1" applyAlignment="1">
      <alignment horizontal="right" vertical="center"/>
    </xf>
    <xf numFmtId="43" fontId="0" fillId="0" borderId="0" xfId="1" applyFont="1" applyAlignment="1">
      <alignment horizontal="right"/>
    </xf>
    <xf numFmtId="43" fontId="0" fillId="0" borderId="0" xfId="1" applyFont="1" applyAlignment="1">
      <alignment vertical="center"/>
    </xf>
    <xf numFmtId="43" fontId="0" fillId="0" borderId="0" xfId="1" applyFont="1" applyAlignment="1">
      <alignment horizontal="left" vertical="top"/>
    </xf>
    <xf numFmtId="43" fontId="6" fillId="0" borderId="0" xfId="1" applyFont="1" applyAlignment="1">
      <alignment horizontal="left" vertical="top"/>
    </xf>
    <xf numFmtId="43" fontId="0" fillId="0" borderId="0" xfId="1" applyFont="1" applyAlignment="1">
      <alignment vertical="top"/>
    </xf>
    <xf numFmtId="43" fontId="6" fillId="0" borderId="0" xfId="1" applyFont="1" applyAlignment="1">
      <alignment horizontal="center" vertical="top"/>
    </xf>
    <xf numFmtId="43" fontId="2" fillId="0" borderId="0" xfId="1" applyFont="1"/>
    <xf numFmtId="43" fontId="3" fillId="0" borderId="0" xfId="1" applyFont="1"/>
    <xf numFmtId="43" fontId="5" fillId="0" borderId="0" xfId="1" applyFont="1" applyAlignment="1">
      <alignment vertical="top" shrinkToFit="1"/>
    </xf>
    <xf numFmtId="43" fontId="4" fillId="0" borderId="0" xfId="1" applyFont="1" applyAlignment="1">
      <alignment horizontal="right" vertical="center" shrinkToFit="1"/>
    </xf>
    <xf numFmtId="0" fontId="0" fillId="0" borderId="13" xfId="0" applyBorder="1" applyAlignment="1">
      <alignment wrapText="1"/>
    </xf>
    <xf numFmtId="164" fontId="0" fillId="0" borderId="4" xfId="2" applyNumberFormat="1" applyFont="1" applyBorder="1"/>
    <xf numFmtId="164" fontId="0" fillId="0" borderId="6" xfId="2" applyNumberFormat="1" applyFont="1" applyBorder="1"/>
    <xf numFmtId="0" fontId="1" fillId="0" borderId="3" xfId="0" applyFont="1" applyBorder="1"/>
    <xf numFmtId="9" fontId="7" fillId="0" borderId="3" xfId="2" applyFont="1" applyBorder="1"/>
    <xf numFmtId="0" fontId="0" fillId="0" borderId="14" xfId="0" applyBorder="1" applyAlignment="1">
      <alignment wrapText="1"/>
    </xf>
    <xf numFmtId="0" fontId="0" fillId="0" borderId="16" xfId="0" applyBorder="1" applyAlignment="1">
      <alignment wrapText="1"/>
    </xf>
    <xf numFmtId="9" fontId="7" fillId="0" borderId="1" xfId="2" applyFont="1" applyBorder="1"/>
    <xf numFmtId="9" fontId="7" fillId="0" borderId="5" xfId="2" applyFont="1" applyBorder="1"/>
    <xf numFmtId="0" fontId="0" fillId="0" borderId="3" xfId="0" applyBorder="1" applyAlignment="1">
      <alignment wrapText="1"/>
    </xf>
    <xf numFmtId="0" fontId="0" fillId="0" borderId="11" xfId="0" applyBorder="1"/>
    <xf numFmtId="165" fontId="7" fillId="0" borderId="9" xfId="1" applyNumberFormat="1" applyFont="1" applyFill="1" applyBorder="1"/>
    <xf numFmtId="165" fontId="7" fillId="0" borderId="10" xfId="1" applyNumberFormat="1" applyFont="1" applyFill="1" applyBorder="1"/>
    <xf numFmtId="165" fontId="7" fillId="0" borderId="13" xfId="1" applyNumberFormat="1" applyFont="1" applyFill="1" applyBorder="1"/>
    <xf numFmtId="0" fontId="1" fillId="10" borderId="0" xfId="0" applyFont="1" applyFill="1"/>
    <xf numFmtId="0" fontId="1" fillId="10" borderId="11" xfId="0" applyFont="1" applyFill="1" applyBorder="1"/>
    <xf numFmtId="0" fontId="1" fillId="10" borderId="1" xfId="0" applyFont="1" applyFill="1" applyBorder="1"/>
    <xf numFmtId="0" fontId="0" fillId="8" borderId="1" xfId="0" applyFill="1" applyBorder="1"/>
    <xf numFmtId="0" fontId="0" fillId="8" borderId="2" xfId="0" applyFill="1" applyBorder="1"/>
    <xf numFmtId="0" fontId="0" fillId="8" borderId="4" xfId="0" applyFill="1" applyBorder="1"/>
    <xf numFmtId="0" fontId="0" fillId="8" borderId="0" xfId="0" applyFill="1"/>
    <xf numFmtId="0" fontId="0" fillId="8" borderId="6" xfId="0" applyFill="1" applyBorder="1"/>
    <xf numFmtId="0" fontId="0" fillId="8" borderId="3" xfId="0" applyFill="1" applyBorder="1"/>
    <xf numFmtId="10" fontId="7" fillId="0" borderId="9" xfId="2" applyNumberFormat="1" applyFont="1" applyBorder="1"/>
    <xf numFmtId="10" fontId="7" fillId="0" borderId="10" xfId="2" applyNumberFormat="1" applyFont="1" applyBorder="1"/>
    <xf numFmtId="10" fontId="7" fillId="0" borderId="13" xfId="2" applyNumberFormat="1" applyFont="1" applyBorder="1"/>
    <xf numFmtId="165" fontId="7" fillId="0" borderId="3" xfId="1" applyNumberFormat="1" applyFont="1" applyBorder="1"/>
    <xf numFmtId="165" fontId="7" fillId="10" borderId="3" xfId="1" applyNumberFormat="1" applyFont="1" applyFill="1" applyBorder="1"/>
    <xf numFmtId="165" fontId="7" fillId="10" borderId="0" xfId="1" applyNumberFormat="1" applyFont="1" applyFill="1" applyBorder="1"/>
    <xf numFmtId="165" fontId="7" fillId="10" borderId="4" xfId="1" applyNumberFormat="1" applyFont="1" applyFill="1" applyBorder="1"/>
    <xf numFmtId="165" fontId="7" fillId="0" borderId="5" xfId="1" applyNumberFormat="1" applyFont="1" applyBorder="1"/>
    <xf numFmtId="165" fontId="7" fillId="10" borderId="5" xfId="1" applyNumberFormat="1" applyFont="1" applyFill="1" applyBorder="1"/>
    <xf numFmtId="165" fontId="7" fillId="10" borderId="12" xfId="1" applyNumberFormat="1" applyFont="1" applyFill="1" applyBorder="1"/>
    <xf numFmtId="165" fontId="7" fillId="10" borderId="6" xfId="1" applyNumberFormat="1" applyFont="1" applyFill="1" applyBorder="1"/>
    <xf numFmtId="0" fontId="0" fillId="11" borderId="14" xfId="0" applyFill="1" applyBorder="1"/>
    <xf numFmtId="0" fontId="0" fillId="11" borderId="16" xfId="0" applyFill="1" applyBorder="1" applyAlignment="1">
      <alignment wrapText="1"/>
    </xf>
    <xf numFmtId="0" fontId="1" fillId="11" borderId="9" xfId="0" applyFont="1" applyFill="1" applyBorder="1" applyAlignment="1">
      <alignment wrapText="1"/>
    </xf>
    <xf numFmtId="0" fontId="0" fillId="2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/>
    </xf>
    <xf numFmtId="43" fontId="0" fillId="0" borderId="5" xfId="1" applyFont="1" applyBorder="1"/>
    <xf numFmtId="0" fontId="0" fillId="7" borderId="7" xfId="0" applyFill="1" applyBorder="1" applyAlignment="1">
      <alignment wrapText="1"/>
    </xf>
    <xf numFmtId="43" fontId="0" fillId="0" borderId="0" xfId="1" applyFont="1" applyFill="1" applyAlignment="1">
      <alignment horizontal="left" vertical="center"/>
    </xf>
    <xf numFmtId="0" fontId="0" fillId="0" borderId="0" xfId="0" quotePrefix="1" applyAlignment="1">
      <alignment horizontal="center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43" fontId="0" fillId="8" borderId="3" xfId="1" applyFont="1" applyFill="1" applyBorder="1"/>
    <xf numFmtId="43" fontId="0" fillId="8" borderId="5" xfId="1" applyFont="1" applyFill="1" applyBorder="1"/>
    <xf numFmtId="0" fontId="11" fillId="8" borderId="4" xfId="0" applyFont="1" applyFill="1" applyBorder="1"/>
    <xf numFmtId="0" fontId="0" fillId="7" borderId="1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 wrapText="1"/>
    </xf>
    <xf numFmtId="0" fontId="0" fillId="2" borderId="17" xfId="0" applyFill="1" applyBorder="1"/>
    <xf numFmtId="0" fontId="0" fillId="11" borderId="9" xfId="0" applyFill="1" applyBorder="1" applyAlignment="1">
      <alignment vertical="top" wrapText="1"/>
    </xf>
    <xf numFmtId="0" fontId="0" fillId="12" borderId="2" xfId="0" applyFill="1" applyBorder="1" applyAlignment="1">
      <alignment horizontal="center" vertical="center"/>
    </xf>
    <xf numFmtId="0" fontId="0" fillId="0" borderId="1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0" fillId="0" borderId="12" xfId="0" applyBorder="1" applyProtection="1">
      <protection locked="0"/>
    </xf>
    <xf numFmtId="0" fontId="0" fillId="10" borderId="7" xfId="0" applyFill="1" applyBorder="1" applyAlignment="1">
      <alignment wrapText="1"/>
    </xf>
    <xf numFmtId="0" fontId="0" fillId="10" borderId="11" xfId="0" applyFill="1" applyBorder="1" applyAlignment="1">
      <alignment wrapText="1"/>
    </xf>
    <xf numFmtId="0" fontId="0" fillId="10" borderId="2" xfId="0" applyFill="1" applyBorder="1" applyAlignment="1">
      <alignment wrapText="1"/>
    </xf>
    <xf numFmtId="0" fontId="0" fillId="10" borderId="0" xfId="0" applyFill="1"/>
    <xf numFmtId="0" fontId="0" fillId="8" borderId="11" xfId="0" applyFill="1" applyBorder="1"/>
    <xf numFmtId="0" fontId="0" fillId="10" borderId="14" xfId="0" applyFill="1" applyBorder="1"/>
    <xf numFmtId="0" fontId="0" fillId="10" borderId="16" xfId="0" applyFill="1" applyBorder="1"/>
    <xf numFmtId="0" fontId="0" fillId="8" borderId="14" xfId="0" applyFill="1" applyBorder="1"/>
    <xf numFmtId="0" fontId="0" fillId="8" borderId="15" xfId="0" applyFill="1" applyBorder="1"/>
    <xf numFmtId="0" fontId="0" fillId="10" borderId="5" xfId="0" applyFill="1" applyBorder="1"/>
    <xf numFmtId="0" fontId="0" fillId="10" borderId="12" xfId="0" applyFill="1" applyBorder="1"/>
    <xf numFmtId="0" fontId="0" fillId="10" borderId="6" xfId="0" applyFill="1" applyBorder="1"/>
    <xf numFmtId="0" fontId="0" fillId="8" borderId="5" xfId="0" applyFill="1" applyBorder="1"/>
    <xf numFmtId="0" fontId="0" fillId="8" borderId="12" xfId="0" applyFill="1" applyBorder="1"/>
    <xf numFmtId="0" fontId="0" fillId="10" borderId="1" xfId="0" applyFill="1" applyBorder="1"/>
    <xf numFmtId="0" fontId="0" fillId="10" borderId="11" xfId="0" applyFill="1" applyBorder="1"/>
    <xf numFmtId="43" fontId="0" fillId="8" borderId="1" xfId="0" applyNumberFormat="1" applyFill="1" applyBorder="1"/>
    <xf numFmtId="9" fontId="0" fillId="10" borderId="3" xfId="0" applyNumberFormat="1" applyFill="1" applyBorder="1"/>
    <xf numFmtId="0" fontId="0" fillId="10" borderId="4" xfId="0" applyFill="1" applyBorder="1"/>
    <xf numFmtId="9" fontId="0" fillId="8" borderId="1" xfId="0" applyNumberFormat="1" applyFill="1" applyBorder="1"/>
    <xf numFmtId="0" fontId="0" fillId="10" borderId="2" xfId="0" applyFill="1" applyBorder="1"/>
    <xf numFmtId="0" fontId="0" fillId="8" borderId="3" xfId="0" applyFill="1" applyBorder="1" applyAlignment="1">
      <alignment horizontal="right"/>
    </xf>
    <xf numFmtId="49" fontId="0" fillId="8" borderId="0" xfId="0" applyNumberFormat="1" applyFill="1"/>
    <xf numFmtId="168" fontId="0" fillId="8" borderId="0" xfId="0" applyNumberFormat="1" applyFill="1"/>
    <xf numFmtId="9" fontId="0" fillId="10" borderId="5" xfId="0" applyNumberFormat="1" applyFill="1" applyBorder="1"/>
    <xf numFmtId="9" fontId="0" fillId="8" borderId="3" xfId="0" applyNumberFormat="1" applyFill="1" applyBorder="1"/>
    <xf numFmtId="0" fontId="0" fillId="10" borderId="3" xfId="0" applyFill="1" applyBorder="1"/>
    <xf numFmtId="167" fontId="0" fillId="8" borderId="0" xfId="0" applyNumberFormat="1" applyFill="1"/>
    <xf numFmtId="167" fontId="0" fillId="8" borderId="4" xfId="0" applyNumberFormat="1" applyFill="1" applyBorder="1"/>
    <xf numFmtId="9" fontId="0" fillId="8" borderId="5" xfId="0" applyNumberFormat="1" applyFill="1" applyBorder="1"/>
    <xf numFmtId="49" fontId="0" fillId="8" borderId="12" xfId="0" applyNumberFormat="1" applyFill="1" applyBorder="1"/>
    <xf numFmtId="0" fontId="0" fillId="8" borderId="5" xfId="0" applyFill="1" applyBorder="1" applyAlignment="1">
      <alignment horizontal="right"/>
    </xf>
    <xf numFmtId="168" fontId="0" fillId="8" borderId="12" xfId="0" applyNumberFormat="1" applyFill="1" applyBorder="1"/>
    <xf numFmtId="167" fontId="0" fillId="8" borderId="12" xfId="0" applyNumberFormat="1" applyFill="1" applyBorder="1"/>
    <xf numFmtId="167" fontId="0" fillId="8" borderId="6" xfId="0" applyNumberFormat="1" applyFill="1" applyBorder="1"/>
    <xf numFmtId="0" fontId="0" fillId="10" borderId="5" xfId="0" applyFill="1" applyBorder="1" applyAlignment="1">
      <alignment horizontal="right"/>
    </xf>
    <xf numFmtId="2" fontId="0" fillId="10" borderId="11" xfId="0" applyNumberFormat="1" applyFill="1" applyBorder="1"/>
    <xf numFmtId="0" fontId="1" fillId="10" borderId="2" xfId="0" applyFont="1" applyFill="1" applyBorder="1" applyAlignment="1">
      <alignment horizontal="right"/>
    </xf>
    <xf numFmtId="2" fontId="0" fillId="10" borderId="3" xfId="0" applyNumberFormat="1" applyFill="1" applyBorder="1"/>
    <xf numFmtId="2" fontId="0" fillId="10" borderId="0" xfId="0" applyNumberFormat="1" applyFill="1"/>
    <xf numFmtId="2" fontId="0" fillId="10" borderId="4" xfId="0" applyNumberFormat="1" applyFill="1" applyBorder="1"/>
    <xf numFmtId="0" fontId="0" fillId="10" borderId="4" xfId="0" applyFill="1" applyBorder="1" applyAlignment="1">
      <alignment horizontal="right"/>
    </xf>
    <xf numFmtId="2" fontId="0" fillId="10" borderId="5" xfId="0" applyNumberFormat="1" applyFill="1" applyBorder="1"/>
    <xf numFmtId="2" fontId="0" fillId="10" borderId="12" xfId="0" applyNumberFormat="1" applyFill="1" applyBorder="1"/>
    <xf numFmtId="2" fontId="0" fillId="10" borderId="6" xfId="0" applyNumberFormat="1" applyFill="1" applyBorder="1"/>
    <xf numFmtId="0" fontId="0" fillId="10" borderId="6" xfId="0" applyFill="1" applyBorder="1" applyAlignment="1">
      <alignment horizontal="right"/>
    </xf>
    <xf numFmtId="2" fontId="1" fillId="10" borderId="2" xfId="0" applyNumberFormat="1" applyFont="1" applyFill="1" applyBorder="1"/>
    <xf numFmtId="2" fontId="1" fillId="10" borderId="1" xfId="0" applyNumberFormat="1" applyFont="1" applyFill="1" applyBorder="1"/>
    <xf numFmtId="0" fontId="14" fillId="8" borderId="20" xfId="0" applyFont="1" applyFill="1" applyBorder="1" applyAlignment="1">
      <alignment horizontal="center" vertical="center"/>
    </xf>
    <xf numFmtId="0" fontId="15" fillId="8" borderId="0" xfId="0" applyFont="1" applyFill="1" applyAlignment="1">
      <alignment horizontal="center" vertical="center"/>
    </xf>
    <xf numFmtId="0" fontId="12" fillId="8" borderId="0" xfId="0" applyFont="1" applyFill="1" applyAlignment="1">
      <alignment horizontal="left" vertical="center"/>
    </xf>
    <xf numFmtId="0" fontId="0" fillId="8" borderId="0" xfId="0" applyFill="1" applyAlignment="1">
      <alignment horizontal="center" vertical="center"/>
    </xf>
    <xf numFmtId="0" fontId="0" fillId="8" borderId="20" xfId="0" applyFill="1" applyBorder="1"/>
    <xf numFmtId="0" fontId="4" fillId="8" borderId="0" xfId="0" applyFont="1" applyFill="1"/>
    <xf numFmtId="0" fontId="4" fillId="10" borderId="0" xfId="0" applyFont="1" applyFill="1"/>
    <xf numFmtId="0" fontId="5" fillId="7" borderId="7" xfId="0" applyFont="1" applyFill="1" applyBorder="1" applyAlignment="1">
      <alignment wrapText="1"/>
    </xf>
    <xf numFmtId="0" fontId="0" fillId="0" borderId="7" xfId="0" applyBorder="1" applyAlignment="1">
      <alignment wrapText="1"/>
    </xf>
    <xf numFmtId="0" fontId="0" fillId="7" borderId="1" xfId="0" applyFill="1" applyBorder="1" applyAlignment="1">
      <alignment vertical="top" wrapText="1"/>
    </xf>
    <xf numFmtId="0" fontId="5" fillId="7" borderId="16" xfId="0" applyFont="1" applyFill="1" applyBorder="1" applyAlignment="1">
      <alignment vertical="top" wrapText="1"/>
    </xf>
    <xf numFmtId="0" fontId="0" fillId="7" borderId="14" xfId="0" applyFill="1" applyBorder="1" applyAlignment="1">
      <alignment vertical="top" wrapText="1"/>
    </xf>
    <xf numFmtId="0" fontId="0" fillId="7" borderId="16" xfId="0" applyFill="1" applyBorder="1" applyAlignment="1">
      <alignment vertical="top" wrapText="1"/>
    </xf>
    <xf numFmtId="0" fontId="0" fillId="7" borderId="7" xfId="0" applyFill="1" applyBorder="1" applyAlignment="1">
      <alignment vertical="top" wrapText="1"/>
    </xf>
    <xf numFmtId="0" fontId="8" fillId="8" borderId="0" xfId="0" applyFont="1" applyFill="1"/>
    <xf numFmtId="0" fontId="8" fillId="8" borderId="4" xfId="0" applyFont="1" applyFill="1" applyBorder="1"/>
    <xf numFmtId="43" fontId="7" fillId="8" borderId="3" xfId="1" applyFont="1" applyFill="1" applyBorder="1"/>
    <xf numFmtId="43" fontId="7" fillId="8" borderId="5" xfId="1" applyFont="1" applyFill="1" applyBorder="1"/>
    <xf numFmtId="0" fontId="0" fillId="7" borderId="8" xfId="0" applyFill="1" applyBorder="1" applyAlignment="1">
      <alignment vertical="center" wrapText="1"/>
    </xf>
    <xf numFmtId="0" fontId="0" fillId="7" borderId="9" xfId="0" applyFill="1" applyBorder="1" applyAlignment="1">
      <alignment vertical="top" wrapText="1"/>
    </xf>
    <xf numFmtId="164" fontId="0" fillId="0" borderId="2" xfId="2" applyNumberFormat="1" applyFont="1" applyBorder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167" fontId="0" fillId="0" borderId="3" xfId="0" applyNumberFormat="1" applyBorder="1"/>
    <xf numFmtId="165" fontId="0" fillId="0" borderId="0" xfId="0" applyNumberFormat="1"/>
    <xf numFmtId="2" fontId="0" fillId="0" borderId="10" xfId="0" applyNumberFormat="1" applyBorder="1"/>
    <xf numFmtId="0" fontId="0" fillId="8" borderId="15" xfId="0" applyFill="1" applyBorder="1" applyAlignment="1">
      <alignment wrapText="1"/>
    </xf>
    <xf numFmtId="0" fontId="0" fillId="8" borderId="16" xfId="0" applyFill="1" applyBorder="1" applyAlignment="1">
      <alignment wrapText="1"/>
    </xf>
    <xf numFmtId="165" fontId="7" fillId="0" borderId="10" xfId="1" applyNumberFormat="1" applyFont="1" applyBorder="1"/>
    <xf numFmtId="166" fontId="7" fillId="0" borderId="9" xfId="1" applyNumberFormat="1" applyFont="1" applyBorder="1"/>
    <xf numFmtId="43" fontId="7" fillId="0" borderId="10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6" fontId="7" fillId="0" borderId="10" xfId="1" applyNumberFormat="1" applyFont="1" applyBorder="1"/>
    <xf numFmtId="0" fontId="0" fillId="0" borderId="4" xfId="0" applyBorder="1" applyAlignment="1">
      <alignment horizontal="center" vertical="center"/>
    </xf>
    <xf numFmtId="165" fontId="7" fillId="0" borderId="13" xfId="1" applyNumberFormat="1" applyFont="1" applyBorder="1"/>
    <xf numFmtId="166" fontId="7" fillId="0" borderId="13" xfId="1" applyNumberFormat="1" applyFont="1" applyBorder="1"/>
    <xf numFmtId="43" fontId="7" fillId="0" borderId="13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/>
    <xf numFmtId="167" fontId="0" fillId="0" borderId="1" xfId="0" applyNumberFormat="1" applyBorder="1"/>
    <xf numFmtId="165" fontId="0" fillId="0" borderId="11" xfId="0" applyNumberFormat="1" applyBorder="1"/>
    <xf numFmtId="2" fontId="0" fillId="0" borderId="11" xfId="0" applyNumberFormat="1" applyBorder="1"/>
    <xf numFmtId="2" fontId="0" fillId="0" borderId="9" xfId="0" applyNumberFormat="1" applyBorder="1"/>
    <xf numFmtId="0" fontId="0" fillId="0" borderId="2" xfId="0" applyBorder="1"/>
    <xf numFmtId="1" fontId="0" fillId="0" borderId="0" xfId="0" applyNumberFormat="1"/>
    <xf numFmtId="169" fontId="0" fillId="0" borderId="0" xfId="0" applyNumberFormat="1"/>
    <xf numFmtId="167" fontId="0" fillId="0" borderId="5" xfId="0" applyNumberFormat="1" applyBorder="1"/>
    <xf numFmtId="165" fontId="0" fillId="0" borderId="12" xfId="0" applyNumberFormat="1" applyBorder="1"/>
    <xf numFmtId="2" fontId="0" fillId="0" borderId="12" xfId="0" applyNumberFormat="1" applyBorder="1"/>
    <xf numFmtId="2" fontId="0" fillId="0" borderId="13" xfId="0" applyNumberFormat="1" applyBorder="1"/>
    <xf numFmtId="0" fontId="14" fillId="8" borderId="20" xfId="0" applyFont="1" applyFill="1" applyBorder="1" applyAlignment="1">
      <alignment horizontal="center" vertical="center" wrapText="1"/>
    </xf>
    <xf numFmtId="0" fontId="0" fillId="8" borderId="14" xfId="0" applyFill="1" applyBorder="1" applyAlignment="1">
      <alignment horizontal="center" wrapText="1"/>
    </xf>
    <xf numFmtId="0" fontId="0" fillId="8" borderId="16" xfId="0" applyFill="1" applyBorder="1" applyAlignment="1">
      <alignment horizontal="center" wrapText="1"/>
    </xf>
    <xf numFmtId="0" fontId="0" fillId="10" borderId="0" xfId="0" applyFill="1" applyAlignment="1">
      <alignment horizontal="left" vertical="top" wrapText="1"/>
    </xf>
    <xf numFmtId="0" fontId="0" fillId="10" borderId="0" xfId="0" applyFill="1" applyAlignment="1">
      <alignment vertical="top" wrapText="1"/>
    </xf>
    <xf numFmtId="0" fontId="0" fillId="8" borderId="0" xfId="0" applyFill="1" applyAlignment="1">
      <alignment vertical="top" wrapText="1"/>
    </xf>
    <xf numFmtId="0" fontId="0" fillId="8" borderId="0" xfId="0" applyFill="1" applyAlignment="1">
      <alignment wrapText="1"/>
    </xf>
    <xf numFmtId="0" fontId="0" fillId="8" borderId="20" xfId="0" applyFill="1" applyBorder="1" applyAlignment="1">
      <alignment vertical="top" wrapText="1"/>
    </xf>
    <xf numFmtId="0" fontId="0" fillId="7" borderId="14" xfId="0" applyFill="1" applyBorder="1" applyAlignment="1">
      <alignment horizontal="center" vertical="top" wrapText="1"/>
    </xf>
    <xf numFmtId="0" fontId="0" fillId="7" borderId="15" xfId="0" applyFill="1" applyBorder="1" applyAlignment="1">
      <alignment horizontal="center" vertical="top" wrapText="1"/>
    </xf>
    <xf numFmtId="0" fontId="0" fillId="7" borderId="16" xfId="0" applyFill="1" applyBorder="1" applyAlignment="1">
      <alignment horizontal="center" vertical="top" wrapText="1"/>
    </xf>
    <xf numFmtId="0" fontId="0" fillId="7" borderId="7" xfId="0" applyFill="1" applyBorder="1" applyAlignment="1">
      <alignment horizontal="center" wrapText="1"/>
    </xf>
    <xf numFmtId="0" fontId="0" fillId="10" borderId="14" xfId="0" applyFill="1" applyBorder="1" applyAlignment="1">
      <alignment horizontal="center" wrapText="1"/>
    </xf>
    <xf numFmtId="0" fontId="0" fillId="10" borderId="16" xfId="0" applyFill="1" applyBorder="1" applyAlignment="1">
      <alignment horizontal="center" wrapText="1"/>
    </xf>
    <xf numFmtId="0" fontId="0" fillId="8" borderId="15" xfId="0" applyFill="1" applyBorder="1" applyAlignment="1">
      <alignment horizontal="center" wrapText="1"/>
    </xf>
    <xf numFmtId="0" fontId="0" fillId="8" borderId="5" xfId="0" applyFill="1" applyBorder="1" applyAlignment="1">
      <alignment horizontal="center" wrapText="1"/>
    </xf>
    <xf numFmtId="0" fontId="0" fillId="8" borderId="12" xfId="0" applyFill="1" applyBorder="1" applyAlignment="1">
      <alignment horizontal="center" wrapText="1"/>
    </xf>
    <xf numFmtId="0" fontId="0" fillId="8" borderId="6" xfId="0" applyFill="1" applyBorder="1" applyAlignment="1">
      <alignment horizontal="center" wrapText="1"/>
    </xf>
    <xf numFmtId="0" fontId="0" fillId="0" borderId="0" xfId="0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0" xfId="0" applyAlignment="1">
      <alignment wrapText="1"/>
    </xf>
    <xf numFmtId="0" fontId="0" fillId="0" borderId="4" xfId="0" applyBorder="1" applyAlignment="1">
      <alignment wrapText="1"/>
    </xf>
    <xf numFmtId="0" fontId="0" fillId="10" borderId="5" xfId="0" applyFill="1" applyBorder="1" applyAlignment="1">
      <alignment horizontal="center" wrapText="1"/>
    </xf>
    <xf numFmtId="0" fontId="0" fillId="10" borderId="12" xfId="0" applyFill="1" applyBorder="1" applyAlignment="1">
      <alignment horizontal="center" wrapText="1"/>
    </xf>
    <xf numFmtId="0" fontId="0" fillId="10" borderId="6" xfId="0" applyFill="1" applyBorder="1" applyAlignment="1">
      <alignment horizontal="center" wrapText="1"/>
    </xf>
    <xf numFmtId="0" fontId="0" fillId="2" borderId="18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13" borderId="0" xfId="0" applyFill="1" applyAlignment="1">
      <alignment horizontal="center" vertical="center"/>
    </xf>
    <xf numFmtId="0" fontId="0" fillId="13" borderId="14" xfId="0" applyFill="1" applyBorder="1"/>
    <xf numFmtId="43" fontId="0" fillId="0" borderId="10" xfId="1" applyFont="1" applyBorder="1"/>
    <xf numFmtId="43" fontId="0" fillId="0" borderId="13" xfId="1" applyFont="1" applyBorder="1"/>
    <xf numFmtId="43" fontId="0" fillId="0" borderId="21" xfId="1" applyFont="1" applyBorder="1"/>
    <xf numFmtId="43" fontId="0" fillId="0" borderId="22" xfId="1" applyFont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'FUNZIONI UTILITA'!$B$1:$F$1</c:f>
              <c:strCache>
                <c:ptCount val="1"/>
                <c:pt idx="0">
                  <c:v>Prelievo totale di acqua dolce
(m3/anno)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'FUNZIONI UTILITA'!$B$3:$B$8</c:f>
              <c:numCache>
                <c:formatCode>_(* #,##0.00_);_(* \(#,##0.00\);_(* "-"??_);_(@_)</c:formatCode>
                <c:ptCount val="6"/>
                <c:pt idx="0" formatCode="General">
                  <c:v>0</c:v>
                </c:pt>
                <c:pt idx="1">
                  <c:v>100</c:v>
                </c:pt>
                <c:pt idx="2">
                  <c:v>900</c:v>
                </c:pt>
                <c:pt idx="3">
                  <c:v>5600</c:v>
                </c:pt>
                <c:pt idx="4">
                  <c:v>88000</c:v>
                </c:pt>
                <c:pt idx="5">
                  <c:v>370000</c:v>
                </c:pt>
              </c:numCache>
            </c:numRef>
          </c:xVal>
          <c:yVal>
            <c:numRef>
              <c:f>'FUNZIONI UTILITA'!$C$3:$C$8</c:f>
              <c:numCache>
                <c:formatCode>General</c:formatCode>
                <c:ptCount val="6"/>
                <c:pt idx="0">
                  <c:v>100</c:v>
                </c:pt>
                <c:pt idx="1">
                  <c:v>85</c:v>
                </c:pt>
                <c:pt idx="2">
                  <c:v>70</c:v>
                </c:pt>
                <c:pt idx="3">
                  <c:v>50</c:v>
                </c:pt>
                <c:pt idx="4">
                  <c:v>25</c:v>
                </c:pt>
                <c:pt idx="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BD-4CFC-A514-16DDD7998A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2083615"/>
        <c:axId val="1002084095"/>
      </c:scatterChart>
      <c:valAx>
        <c:axId val="10020836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084095"/>
        <c:crosses val="autoZero"/>
        <c:crossBetween val="midCat"/>
      </c:valAx>
      <c:valAx>
        <c:axId val="1002084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0836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Water consumption per MWh produced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'FUNZIONI UTILITA'!$M$1:$Q$1</c:f>
              <c:strCache>
                <c:ptCount val="1"/>
                <c:pt idx="0">
                  <c:v>Consumo idrico per MWh generato
(m3/MWh/anno)</c:v>
                </c:pt>
              </c:strCache>
            </c:strRef>
          </c:tx>
          <c:xVal>
            <c:numRef>
              <c:f>'FUNZIONI UTILITA'!$M$3:$M$8</c:f>
              <c:numCache>
                <c:formatCode>_(* #,##0.00_);_(* \(#,##0.00\);_(* "-"??_);_(@_)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1</c:v>
                </c:pt>
                <c:pt idx="3">
                  <c:v>10</c:v>
                </c:pt>
                <c:pt idx="4">
                  <c:v>100</c:v>
                </c:pt>
                <c:pt idx="5">
                  <c:v>190</c:v>
                </c:pt>
              </c:numCache>
            </c:numRef>
          </c:xVal>
          <c:yVal>
            <c:numRef>
              <c:f>'FUNZIONI UTILITA'!$N$3:$N$8</c:f>
              <c:numCache>
                <c:formatCode>General</c:formatCode>
                <c:ptCount val="6"/>
                <c:pt idx="0">
                  <c:v>100</c:v>
                </c:pt>
                <c:pt idx="1">
                  <c:v>90</c:v>
                </c:pt>
                <c:pt idx="2">
                  <c:v>70</c:v>
                </c:pt>
                <c:pt idx="3">
                  <c:v>40</c:v>
                </c:pt>
                <c:pt idx="4">
                  <c:v>10</c:v>
                </c:pt>
                <c:pt idx="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AA8-4B98-95A2-20321F7A6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2083615"/>
        <c:axId val="1002084095"/>
      </c:scatterChart>
      <c:valAx>
        <c:axId val="10020836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084095"/>
        <c:crosses val="autoZero"/>
        <c:crossBetween val="midCat"/>
      </c:valAx>
      <c:valAx>
        <c:axId val="1002084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083615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'FUNZIONI UTILITA'!$T$1</c:f>
              <c:strCache>
                <c:ptCount val="1"/>
                <c:pt idx="0">
                  <c:v>Tasso di consumo idrico</c:v>
                </c:pt>
              </c:strCache>
            </c:strRef>
          </c:tx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'FUNZIONI UTILITA'!$T$3:$T$7</c:f>
              <c:numCache>
                <c:formatCode>0%</c:formatCode>
                <c:ptCount val="5"/>
                <c:pt idx="0">
                  <c:v>0</c:v>
                </c:pt>
                <c:pt idx="1">
                  <c:v>0.1</c:v>
                </c:pt>
                <c:pt idx="2">
                  <c:v>0.35</c:v>
                </c:pt>
                <c:pt idx="3">
                  <c:v>0.6</c:v>
                </c:pt>
                <c:pt idx="4">
                  <c:v>1</c:v>
                </c:pt>
              </c:numCache>
            </c:numRef>
          </c:xVal>
          <c:yVal>
            <c:numRef>
              <c:f>'FUNZIONI UTILITA'!$U$3:$U$7</c:f>
              <c:numCache>
                <c:formatCode>General</c:formatCode>
                <c:ptCount val="5"/>
                <c:pt idx="0">
                  <c:v>100</c:v>
                </c:pt>
                <c:pt idx="1">
                  <c:v>60</c:v>
                </c:pt>
                <c:pt idx="2">
                  <c:v>30</c:v>
                </c:pt>
                <c:pt idx="3">
                  <c:v>10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AA8-4B98-95A2-20321F7A6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2083615"/>
        <c:axId val="1002084095"/>
      </c:scatterChart>
      <c:valAx>
        <c:axId val="1002083615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084095"/>
        <c:crosses val="autoZero"/>
        <c:crossBetween val="midCat"/>
      </c:valAx>
      <c:valAx>
        <c:axId val="1002084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083615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'FUNZIONI UTILITA'!$L$9</c:f>
              <c:strCache>
                <c:ptCount val="1"/>
                <c:pt idx="0">
                  <c:v>Nullo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'FUNZIONI UTILITA'!$G$2:$K$2</c:f>
              <c:strCache>
                <c:ptCount val="5"/>
                <c:pt idx="0">
                  <c:v>Recuperata /
secondo utilizzo</c:v>
                </c:pt>
                <c:pt idx="1">
                  <c:v>Piovana</c:v>
                </c:pt>
                <c:pt idx="2">
                  <c:v>Marina</c:v>
                </c:pt>
                <c:pt idx="3">
                  <c:v>Di falda</c:v>
                </c:pt>
                <c:pt idx="4">
                  <c:v>Superficiale</c:v>
                </c:pt>
              </c:strCache>
            </c:strRef>
          </c:cat>
          <c:val>
            <c:numRef>
              <c:f>'FUNZIONI UTILITA'!$G$9:$K$9</c:f>
              <c:numCache>
                <c:formatCode>0.00</c:formatCode>
                <c:ptCount val="5"/>
                <c:pt idx="0">
                  <c:v>100</c:v>
                </c:pt>
                <c:pt idx="1">
                  <c:v>85.714285714285708</c:v>
                </c:pt>
                <c:pt idx="2">
                  <c:v>64.285714285714292</c:v>
                </c:pt>
                <c:pt idx="3">
                  <c:v>14.285714285714285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0F-4D84-95BF-8CD4E755B324}"/>
            </c:ext>
          </c:extLst>
        </c:ser>
        <c:ser>
          <c:idx val="1"/>
          <c:order val="1"/>
          <c:tx>
            <c:strRef>
              <c:f>'FUNZIONI UTILITA'!$L$10</c:f>
              <c:strCache>
                <c:ptCount val="1"/>
                <c:pt idx="0">
                  <c:v>Attenzione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'FUNZIONI UTILITA'!$G$10:$K$10</c:f>
              <c:numCache>
                <c:formatCode>0.00</c:formatCode>
                <c:ptCount val="5"/>
                <c:pt idx="0">
                  <c:v>114.28571428571431</c:v>
                </c:pt>
                <c:pt idx="1">
                  <c:v>98.571428571428584</c:v>
                </c:pt>
                <c:pt idx="2">
                  <c:v>75</c:v>
                </c:pt>
                <c:pt idx="3">
                  <c:v>8.5714285714285712</c:v>
                </c:pt>
                <c:pt idx="4">
                  <c:v>-4.2857142857142856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0F-4D84-95BF-8CD4E755B324}"/>
            </c:ext>
          </c:extLst>
        </c:ser>
        <c:ser>
          <c:idx val="2"/>
          <c:order val="2"/>
          <c:tx>
            <c:strRef>
              <c:f>'FUNZIONI UTILITA'!$L$11</c:f>
              <c:strCache>
                <c:ptCount val="1"/>
                <c:pt idx="0">
                  <c:v>Allarme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'FUNZIONI UTILITA'!$G$11:$K$11</c:f>
              <c:numCache>
                <c:formatCode>0.00</c:formatCode>
                <c:ptCount val="5"/>
                <c:pt idx="0">
                  <c:v>128.57142857142858</c:v>
                </c:pt>
                <c:pt idx="1">
                  <c:v>111.42857142857143</c:v>
                </c:pt>
                <c:pt idx="2">
                  <c:v>85.714285714285708</c:v>
                </c:pt>
                <c:pt idx="3">
                  <c:v>2.8571428571428572</c:v>
                </c:pt>
                <c:pt idx="4">
                  <c:v>-8.5714285714285712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00F-4D84-95BF-8CD4E755B324}"/>
            </c:ext>
          </c:extLst>
        </c:ser>
        <c:ser>
          <c:idx val="3"/>
          <c:order val="3"/>
          <c:tx>
            <c:strRef>
              <c:f>'FUNZIONI UTILITA'!$L$12</c:f>
              <c:strCache>
                <c:ptCount val="1"/>
                <c:pt idx="0">
                  <c:v>Pericolo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'FUNZIONI UTILITA'!$G$12:$K$12</c:f>
              <c:numCache>
                <c:formatCode>0.00</c:formatCode>
                <c:ptCount val="5"/>
                <c:pt idx="0">
                  <c:v>142.85714285714286</c:v>
                </c:pt>
                <c:pt idx="1">
                  <c:v>124.28571428571429</c:v>
                </c:pt>
                <c:pt idx="2">
                  <c:v>96.428571428571431</c:v>
                </c:pt>
                <c:pt idx="3">
                  <c:v>-2.8571428571428572</c:v>
                </c:pt>
                <c:pt idx="4">
                  <c:v>-12.857142857142856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00F-4D84-95BF-8CD4E755B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2853680"/>
        <c:axId val="322849360"/>
      </c:lineChart>
      <c:catAx>
        <c:axId val="322853680"/>
        <c:scaling>
          <c:orientation val="minMax"/>
        </c:scaling>
        <c:delete val="0"/>
        <c:axPos val="b"/>
        <c:numFmt formatCode="General" sourceLinked="1"/>
        <c:majorTickMark val="in"/>
        <c:minorTickMark val="in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b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22849360"/>
        <c:crosses val="autoZero"/>
        <c:auto val="1"/>
        <c:lblAlgn val="ctr"/>
        <c:lblOffset val="100"/>
        <c:noMultiLvlLbl val="0"/>
      </c:catAx>
      <c:valAx>
        <c:axId val="32284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22853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Gestione dello scarico termico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[2]V2022!$Y$1</c:f>
              <c:strCache>
                <c:ptCount val="1"/>
                <c:pt idx="0">
                  <c:v>Effluent discharge volume 
 (m3 reflue/m3)</c:v>
                </c:pt>
              </c:strCache>
            </c:strRef>
          </c:tx>
          <c:marker>
            <c:symbol val="circle"/>
            <c:size val="5"/>
            <c:spPr>
              <a:solidFill>
                <a:schemeClr val="accent1"/>
              </a:solidFill>
              <a:effectLst/>
            </c:spPr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2FDA-47AD-9DB4-452524B2BC8C}"/>
              </c:ext>
            </c:extLst>
          </c:dPt>
          <c:dPt>
            <c:idx val="2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2-2FDA-47AD-9DB4-452524B2BC8C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2FDA-47AD-9DB4-452524B2BC8C}"/>
              </c:ext>
            </c:extLst>
          </c:dPt>
          <c:dPt>
            <c:idx val="4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2FDA-47AD-9DB4-452524B2BC8C}"/>
              </c:ext>
            </c:extLst>
          </c:dPt>
          <c:dPt>
            <c:idx val="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2FDA-47AD-9DB4-452524B2BC8C}"/>
              </c:ext>
            </c:extLst>
          </c:dPt>
          <c:dPt>
            <c:idx val="6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8-2FDA-47AD-9DB4-452524B2BC8C}"/>
              </c:ext>
            </c:extLst>
          </c:dPt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9-2FDA-47AD-9DB4-452524B2BC8C}"/>
              </c:ext>
            </c:extLst>
          </c:dPt>
          <c:dPt>
            <c:idx val="8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2FDA-47AD-9DB4-452524B2BC8C}"/>
              </c:ext>
            </c:extLst>
          </c:dPt>
          <c:xVal>
            <c:numRef>
              <c:f>[2]V2022!$AD$15:$AD$23</c:f>
              <c:numCache>
                <c:formatCode>General</c:formatCode>
                <c:ptCount val="9"/>
                <c:pt idx="0">
                  <c:v>0</c:v>
                </c:pt>
                <c:pt idx="1">
                  <c:v>7</c:v>
                </c:pt>
                <c:pt idx="2">
                  <c:v>7</c:v>
                </c:pt>
                <c:pt idx="3">
                  <c:v>10</c:v>
                </c:pt>
                <c:pt idx="4">
                  <c:v>10</c:v>
                </c:pt>
                <c:pt idx="5">
                  <c:v>12</c:v>
                </c:pt>
                <c:pt idx="6">
                  <c:v>12</c:v>
                </c:pt>
                <c:pt idx="7">
                  <c:v>15</c:v>
                </c:pt>
                <c:pt idx="8">
                  <c:v>15</c:v>
                </c:pt>
              </c:numCache>
            </c:numRef>
          </c:xVal>
          <c:yVal>
            <c:numRef>
              <c:f>[2]V2022!$AE$15:$AE$23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40</c:v>
                </c:pt>
                <c:pt idx="3">
                  <c:v>40</c:v>
                </c:pt>
                <c:pt idx="4">
                  <c:v>60</c:v>
                </c:pt>
                <c:pt idx="5">
                  <c:v>60</c:v>
                </c:pt>
                <c:pt idx="6">
                  <c:v>80</c:v>
                </c:pt>
                <c:pt idx="7">
                  <c:v>80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2FDA-47AD-9DB4-452524B2B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2083615"/>
        <c:axId val="1002084095"/>
      </c:scatterChart>
      <c:valAx>
        <c:axId val="1002083615"/>
        <c:scaling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084095"/>
        <c:crosses val="autoZero"/>
        <c:crossBetween val="midCat"/>
      </c:valAx>
      <c:valAx>
        <c:axId val="1002084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083615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Inquinanti negli effluenti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[2]V2022!$Y$1</c:f>
              <c:strCache>
                <c:ptCount val="1"/>
                <c:pt idx="0">
                  <c:v>Effluent discharge volume 
 (m3 reflue/m3)</c:v>
                </c:pt>
              </c:strCache>
            </c:strRef>
          </c:tx>
          <c:marker>
            <c:symbol val="circle"/>
            <c:size val="5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1"/>
            <c:marker>
              <c:symbol val="none"/>
            </c:marker>
            <c:bubble3D val="0"/>
            <c:spPr>
              <a:ln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CB9A-4BFE-9929-851147AB8562}"/>
              </c:ext>
            </c:extLst>
          </c:dPt>
          <c:dPt>
            <c:idx val="2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3-CB9A-4BFE-9929-851147AB8562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4-CB9A-4BFE-9929-851147AB8562}"/>
              </c:ext>
            </c:extLst>
          </c:dPt>
          <c:dPt>
            <c:idx val="4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6-CB9A-4BFE-9929-851147AB8562}"/>
              </c:ext>
            </c:extLst>
          </c:dPt>
          <c:dPt>
            <c:idx val="5"/>
            <c:marker>
              <c:spPr>
                <a:noFill/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CB9A-4BFE-9929-851147AB8562}"/>
              </c:ext>
            </c:extLst>
          </c:dPt>
          <c:dPt>
            <c:idx val="6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CB9A-4BFE-9929-851147AB8562}"/>
              </c:ext>
            </c:extLst>
          </c:dPt>
          <c:dPt>
            <c:idx val="7"/>
            <c:marker>
              <c:spPr>
                <a:noFill/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CB9A-4BFE-9929-851147AB8562}"/>
              </c:ext>
            </c:extLst>
          </c:dPt>
          <c:dPt>
            <c:idx val="8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CB9A-4BFE-9929-851147AB8562}"/>
              </c:ext>
            </c:extLst>
          </c:dPt>
          <c:dPt>
            <c:idx val="9"/>
            <c:marker>
              <c:spPr>
                <a:noFill/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CB9A-4BFE-9929-851147AB8562}"/>
              </c:ext>
            </c:extLst>
          </c:dPt>
          <c:dPt>
            <c:idx val="10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CB9A-4BFE-9929-851147AB8562}"/>
              </c:ext>
            </c:extLst>
          </c:dPt>
          <c:xVal>
            <c:numRef>
              <c:f>[2]V2022!$AG$15:$AG$25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5</c:v>
                </c:pt>
                <c:pt idx="10">
                  <c:v>5</c:v>
                </c:pt>
              </c:numCache>
            </c:numRef>
          </c:xVal>
          <c:yVal>
            <c:numRef>
              <c:f>[2]V2022!$AH$15:$AH$25</c:f>
              <c:numCache>
                <c:formatCode>General</c:formatCode>
                <c:ptCount val="11"/>
                <c:pt idx="0">
                  <c:v>100</c:v>
                </c:pt>
                <c:pt idx="1">
                  <c:v>100</c:v>
                </c:pt>
                <c:pt idx="2">
                  <c:v>80</c:v>
                </c:pt>
                <c:pt idx="3">
                  <c:v>80</c:v>
                </c:pt>
                <c:pt idx="4">
                  <c:v>60</c:v>
                </c:pt>
                <c:pt idx="5">
                  <c:v>60</c:v>
                </c:pt>
                <c:pt idx="6">
                  <c:v>40</c:v>
                </c:pt>
                <c:pt idx="7">
                  <c:v>40</c:v>
                </c:pt>
                <c:pt idx="8">
                  <c:v>20</c:v>
                </c:pt>
                <c:pt idx="9">
                  <c:v>20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CB9A-4BFE-9929-851147AB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2083615"/>
        <c:axId val="1002084095"/>
      </c:scatterChart>
      <c:valAx>
        <c:axId val="1002083615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084095"/>
        <c:crosses val="autoZero"/>
        <c:crossBetween val="midCat"/>
      </c:valAx>
      <c:valAx>
        <c:axId val="1002084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02083615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37418</xdr:colOff>
      <xdr:row>8</xdr:row>
      <xdr:rowOff>111317</xdr:rowOff>
    </xdr:from>
    <xdr:to>
      <xdr:col>5</xdr:col>
      <xdr:colOff>564542</xdr:colOff>
      <xdr:row>22</xdr:row>
      <xdr:rowOff>46772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3FF0D0-51FF-62E5-93F6-3C105DF0E1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90267</xdr:colOff>
      <xdr:row>13</xdr:row>
      <xdr:rowOff>63141</xdr:rowOff>
    </xdr:from>
    <xdr:to>
      <xdr:col>16</xdr:col>
      <xdr:colOff>699714</xdr:colOff>
      <xdr:row>27</xdr:row>
      <xdr:rowOff>134701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E6D03B0-925E-6F15-0C35-92AA39181D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1150131</xdr:colOff>
      <xdr:row>13</xdr:row>
      <xdr:rowOff>22450</xdr:rowOff>
    </xdr:from>
    <xdr:to>
      <xdr:col>23</xdr:col>
      <xdr:colOff>505144</xdr:colOff>
      <xdr:row>27</xdr:row>
      <xdr:rowOff>94011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A7566A9-74CA-7D38-B893-EDF7E32867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94713</xdr:colOff>
      <xdr:row>13</xdr:row>
      <xdr:rowOff>17539</xdr:rowOff>
    </xdr:from>
    <xdr:to>
      <xdr:col>11</xdr:col>
      <xdr:colOff>1665097</xdr:colOff>
      <xdr:row>29</xdr:row>
      <xdr:rowOff>93544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4CC6085-C180-F6E5-1A96-E2BC05C188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24</xdr:col>
      <xdr:colOff>40688</xdr:colOff>
      <xdr:row>13</xdr:row>
      <xdr:rowOff>25256</xdr:rowOff>
    </xdr:from>
    <xdr:to>
      <xdr:col>26</xdr:col>
      <xdr:colOff>532737</xdr:colOff>
      <xdr:row>27</xdr:row>
      <xdr:rowOff>96817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C4FC3AB-811A-4C39-9940-AAF08B3334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32736</xdr:colOff>
      <xdr:row>13</xdr:row>
      <xdr:rowOff>17306</xdr:rowOff>
    </xdr:from>
    <xdr:to>
      <xdr:col>29</xdr:col>
      <xdr:colOff>381660</xdr:colOff>
      <xdr:row>27</xdr:row>
      <xdr:rowOff>88867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192EA68B-D67C-4F4B-89CC-35B80ACFB2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rokenpot-my.sharepoint.com/personal/repository_brokenpot_it/Documents/300_Clienti/330_Clienti/25SEA003ADV_UniMore/05_Project_management/UniPd/Casi%20studio/Dati%20impianti/20250530_impianti_performance.xlsx" TargetMode="External"/><Relationship Id="rId1" Type="http://schemas.openxmlformats.org/officeDocument/2006/relationships/externalLinkPath" Target="20250530_impianti_performanc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06/relationships/xlExternalLinkPath/xlPathMissing" Target="NON_MODIFICARE_20250530_Indicatore_circolarit&#224;.xlsx" TargetMode="External"/><Relationship Id="rId1" Type="http://schemas.openxmlformats.org/officeDocument/2006/relationships/externalLinkPath" Target="NON_MODIFICARE_20250530_Indicatore_circolarit&#22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1"/>
      <sheetName val="2023"/>
      <sheetName val="P2021"/>
      <sheetName val="P2023"/>
      <sheetName val="2022_DATI"/>
      <sheetName val="P2022"/>
      <sheetName val="INTRODUZIONE"/>
      <sheetName val="VF2022"/>
      <sheetName val="W2022"/>
      <sheetName val="W2022_IMAN"/>
      <sheetName val="SENSITIVITA"/>
      <sheetName val="GRAFICI_IMPIANTI"/>
      <sheetName val="IC"/>
      <sheetName val="Note"/>
      <sheetName val="KF"/>
      <sheetName val="Allocation facto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35">
          <cell r="B35">
            <v>0</v>
          </cell>
          <cell r="D35">
            <v>100</v>
          </cell>
        </row>
        <row r="44">
          <cell r="D44">
            <v>90</v>
          </cell>
        </row>
        <row r="52">
          <cell r="D52">
            <v>70</v>
          </cell>
        </row>
        <row r="55">
          <cell r="D55">
            <v>40</v>
          </cell>
        </row>
        <row r="60">
          <cell r="D60">
            <v>10</v>
          </cell>
        </row>
        <row r="64">
          <cell r="D64">
            <v>0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1"/>
      <sheetName val="INTRODUZIONE"/>
      <sheetName val="2022"/>
      <sheetName val="2023"/>
      <sheetName val="P2021"/>
      <sheetName val="P2022"/>
      <sheetName val="V2022"/>
      <sheetName val="P2023"/>
      <sheetName val="W2022"/>
      <sheetName val="W2022_IMAN"/>
      <sheetName val="Note"/>
      <sheetName val="KF"/>
      <sheetName val="GRAFICI_IMPIAN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Y1" t="str">
            <v>Effluent discharge volume 
 (m3 reflue/m3)</v>
          </cell>
        </row>
        <row r="15">
          <cell r="AD15">
            <v>0</v>
          </cell>
          <cell r="AE15">
            <v>0</v>
          </cell>
          <cell r="AG15">
            <v>0</v>
          </cell>
          <cell r="AH15">
            <v>100</v>
          </cell>
        </row>
        <row r="16">
          <cell r="AD16">
            <v>7</v>
          </cell>
          <cell r="AE16">
            <v>0</v>
          </cell>
          <cell r="AG16">
            <v>1</v>
          </cell>
          <cell r="AH16">
            <v>100</v>
          </cell>
        </row>
        <row r="17">
          <cell r="AD17">
            <v>7</v>
          </cell>
          <cell r="AE17">
            <v>40</v>
          </cell>
          <cell r="AG17">
            <v>1</v>
          </cell>
          <cell r="AH17">
            <v>80</v>
          </cell>
        </row>
        <row r="18">
          <cell r="AD18">
            <v>10</v>
          </cell>
          <cell r="AE18">
            <v>40</v>
          </cell>
          <cell r="AG18">
            <v>2</v>
          </cell>
          <cell r="AH18">
            <v>80</v>
          </cell>
        </row>
        <row r="19">
          <cell r="AD19">
            <v>10</v>
          </cell>
          <cell r="AE19">
            <v>60</v>
          </cell>
          <cell r="AG19">
            <v>2</v>
          </cell>
          <cell r="AH19">
            <v>60</v>
          </cell>
        </row>
        <row r="20">
          <cell r="AD20">
            <v>12</v>
          </cell>
          <cell r="AE20">
            <v>60</v>
          </cell>
          <cell r="AG20">
            <v>3</v>
          </cell>
          <cell r="AH20">
            <v>60</v>
          </cell>
        </row>
        <row r="21">
          <cell r="AD21">
            <v>12</v>
          </cell>
          <cell r="AE21">
            <v>80</v>
          </cell>
          <cell r="AG21">
            <v>3</v>
          </cell>
          <cell r="AH21">
            <v>40</v>
          </cell>
        </row>
        <row r="22">
          <cell r="AD22">
            <v>15</v>
          </cell>
          <cell r="AE22">
            <v>80</v>
          </cell>
          <cell r="AG22">
            <v>4</v>
          </cell>
          <cell r="AH22">
            <v>40</v>
          </cell>
        </row>
        <row r="23">
          <cell r="AD23">
            <v>15</v>
          </cell>
          <cell r="AE23">
            <v>100</v>
          </cell>
          <cell r="AG23">
            <v>4</v>
          </cell>
          <cell r="AH23">
            <v>20</v>
          </cell>
        </row>
        <row r="24">
          <cell r="AG24">
            <v>5</v>
          </cell>
          <cell r="AH24">
            <v>20</v>
          </cell>
        </row>
        <row r="25">
          <cell r="AG25">
            <v>5</v>
          </cell>
          <cell r="AH25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benedetta.scalzotto@phd.unipd.it" id="{94620826-87F1-4868-948B-4075E82044AA}" userId="S::urn:spo:guest#benedetta.scalzotto@phd.unipd.it::" providerId="AD"/>
  <person displayName="Stefano Casarin" id="{3A7C005C-60D9-4D23-B070-E338D1400208}" userId="S::stefano.casarin@brokenpot.it::a36bd727-b244-4246-96ea-133061908c77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L8" dT="2025-07-30T08:06:38.24" personId="{94620826-87F1-4868-948B-4075E82044AA}" id="{A8133861-6C10-450A-BA39-E762447CC0FA}">
    <text>C'è una sola misura di temperatura nel mese di dicembre, a parere mio non è un dato valido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K2" dT="2025-06-04T11:04:49.36" personId="{3A7C005C-60D9-4D23-B070-E338D1400208}" id="{DD324032-7973-46D1-8986-6596A750713A}">
    <text>Rapporto tra acqua recuperata e acqua trattata da ITAR</text>
  </threadedComment>
  <threadedComment ref="M2" dT="2025-07-24T14:36:26.93" personId="{3A7C005C-60D9-4D23-B070-E338D1400208}" id="{EE8A284F-203C-41EB-8173-50A64EC3A3BA}">
    <text>Inteso come Delta T = T max - T scarico.
Maggiore è il delta meglio è.</text>
  </threadedComment>
  <threadedComment ref="J17" dT="2025-07-07T10:30:20.86" personId="{3A7C005C-60D9-4D23-B070-E338D1400208}" id="{18861BBA-2228-4AB3-8206-6CC15AF5A793}">
    <text>Non c’è il dato di acqua scaricata in corpo superficiale, quindi non si considera acqua scaricata in mare. La formula è stata cambiata di conseguenza</text>
  </threadedComment>
  <threadedComment ref="N21" dT="2025-06-19T13:57:31.29" personId="{94620826-87F1-4868-948B-4075E82044AA}" id="{6E9ED14F-364D-4A49-9FE8-ABF5E34BD89C}">
    <text>Dati del 2023-2024</text>
  </threadedComment>
  <threadedComment ref="K33" dT="2025-06-04T11:04:49.36" personId="{3A7C005C-60D9-4D23-B070-E338D1400208}" id="{EF76D562-4594-4807-959B-F14D6AED305D}">
    <text>Rapporto tra acqua recuperata e acqua trattata da ITAR</text>
  </threadedComment>
  <threadedComment ref="M33" dT="2025-07-24T14:36:26.93" personId="{3A7C005C-60D9-4D23-B070-E338D1400208}" id="{582853D4-D643-49CD-8E6A-233A558CD2F6}">
    <text>Inteso come Delta T = T max - T scarico.
Maggiore è il delta meglio è.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Y2" dT="2025-07-24T14:51:45.83" personId="{3A7C005C-60D9-4D23-B070-E338D1400208}" id="{3EB87D14-A1EE-4B4F-BD99-11FF89303B96}">
    <text>T media acqua scaricata= 35°- x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G4" dT="2025-06-04T11:04:49.36" personId="{3A7C005C-60D9-4D23-B070-E338D1400208}" id="{9694E9CB-3F22-4675-A4D8-6BA10F863FC2}">
    <text>Rapporto tra acqua recuperata e acqua trattata da ITAR</text>
  </threadedComment>
  <threadedComment ref="I4" dT="2025-07-24T14:36:26.93" personId="{3A7C005C-60D9-4D23-B070-E338D1400208}" id="{C3FEBAEE-1311-4454-B4AB-CC4F327E6B60}">
    <text>Inteso come Delta T = T max - T scarico.
Maggiore è il delta meglio è.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F9A80-D157-4735-B5F2-77B81AEDCEA5}">
  <dimension ref="A1:S44"/>
  <sheetViews>
    <sheetView tabSelected="1" topLeftCell="A14" zoomScale="70" zoomScaleNormal="70" workbookViewId="0">
      <selection activeCell="C26" sqref="C26"/>
    </sheetView>
  </sheetViews>
  <sheetFormatPr defaultColWidth="8.88671875" defaultRowHeight="15.05" x14ac:dyDescent="0.3"/>
  <cols>
    <col min="1" max="1" width="15.5546875" style="164" customWidth="1"/>
    <col min="2" max="2" width="33.5546875" style="68" customWidth="1"/>
    <col min="3" max="3" width="9.109375" style="68" bestFit="1" customWidth="1"/>
    <col min="4" max="4" width="13" style="68" customWidth="1"/>
    <col min="5" max="5" width="10.109375" style="68" customWidth="1"/>
    <col min="6" max="18" width="8.88671875" style="68"/>
    <col min="19" max="19" width="4.6640625" style="68" customWidth="1"/>
    <col min="20" max="16384" width="8.88671875" style="68"/>
  </cols>
  <sheetData>
    <row r="1" spans="1:19" ht="18.2" x14ac:dyDescent="0.3">
      <c r="A1" s="163" t="s">
        <v>91</v>
      </c>
    </row>
    <row r="3" spans="1:19" ht="15.65" x14ac:dyDescent="0.3">
      <c r="A3" s="161" t="s">
        <v>92</v>
      </c>
      <c r="B3" s="165" t="s">
        <v>93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</row>
    <row r="4" spans="1:19" ht="31.95" customHeight="1" x14ac:dyDescent="0.3">
      <c r="A4" s="162"/>
      <c r="B4" s="215" t="s">
        <v>94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</row>
    <row r="5" spans="1:19" ht="15.65" x14ac:dyDescent="0.3">
      <c r="A5" s="162"/>
      <c r="B5" s="68" t="s">
        <v>95</v>
      </c>
      <c r="C5" s="68" t="s">
        <v>96</v>
      </c>
    </row>
    <row r="6" spans="1:19" ht="15.65" x14ac:dyDescent="0.3">
      <c r="A6" s="162"/>
      <c r="B6" s="116" t="s">
        <v>97</v>
      </c>
      <c r="C6" s="116" t="s">
        <v>98</v>
      </c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</row>
    <row r="7" spans="1:19" ht="15.65" x14ac:dyDescent="0.3">
      <c r="A7" s="162"/>
      <c r="B7" s="68" t="s">
        <v>99</v>
      </c>
      <c r="C7" s="68" t="s">
        <v>100</v>
      </c>
    </row>
    <row r="8" spans="1:19" ht="15.65" x14ac:dyDescent="0.3">
      <c r="A8" s="162"/>
      <c r="B8" s="116" t="s">
        <v>101</v>
      </c>
      <c r="C8" s="116" t="s">
        <v>102</v>
      </c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</row>
    <row r="9" spans="1:19" ht="15.65" x14ac:dyDescent="0.3">
      <c r="A9" s="162"/>
      <c r="B9" s="68" t="s">
        <v>103</v>
      </c>
      <c r="C9" s="68" t="s">
        <v>104</v>
      </c>
    </row>
    <row r="10" spans="1:19" ht="15.65" x14ac:dyDescent="0.3">
      <c r="A10" s="162"/>
      <c r="B10" s="116" t="s">
        <v>105</v>
      </c>
      <c r="C10" s="167" t="s">
        <v>106</v>
      </c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</row>
    <row r="11" spans="1:19" ht="15.65" x14ac:dyDescent="0.3">
      <c r="A11" s="162"/>
      <c r="B11" s="68" t="s">
        <v>107</v>
      </c>
      <c r="C11" s="166" t="s">
        <v>108</v>
      </c>
    </row>
    <row r="12" spans="1:19" ht="15.65" x14ac:dyDescent="0.3">
      <c r="A12" s="162"/>
      <c r="B12" s="116" t="s">
        <v>109</v>
      </c>
      <c r="C12" s="167" t="s">
        <v>110</v>
      </c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</row>
    <row r="13" spans="1:19" ht="15.65" x14ac:dyDescent="0.3">
      <c r="A13" s="162"/>
      <c r="B13" s="68" t="s">
        <v>111</v>
      </c>
      <c r="C13" s="166" t="s">
        <v>112</v>
      </c>
    </row>
    <row r="14" spans="1:19" ht="15.65" x14ac:dyDescent="0.3">
      <c r="A14" s="162"/>
      <c r="B14" s="116" t="s">
        <v>113</v>
      </c>
      <c r="C14" s="167" t="s">
        <v>114</v>
      </c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</row>
    <row r="15" spans="1:19" ht="15.65" x14ac:dyDescent="0.3">
      <c r="A15" s="162"/>
      <c r="B15" s="68" t="s">
        <v>115</v>
      </c>
      <c r="C15" s="166" t="s">
        <v>116</v>
      </c>
    </row>
    <row r="16" spans="1:19" ht="15.65" x14ac:dyDescent="0.3">
      <c r="A16" s="162"/>
    </row>
    <row r="17" spans="1:19" ht="15.65" x14ac:dyDescent="0.3">
      <c r="A17" s="161" t="s">
        <v>224</v>
      </c>
      <c r="B17" s="165" t="s">
        <v>117</v>
      </c>
      <c r="C17" s="165"/>
      <c r="D17" s="165"/>
      <c r="E17" s="165"/>
      <c r="F17" s="165"/>
      <c r="G17" s="165"/>
      <c r="H17" s="165"/>
      <c r="I17" s="165"/>
      <c r="J17" s="165"/>
      <c r="K17" s="165"/>
      <c r="L17" s="165"/>
      <c r="M17" s="165"/>
      <c r="N17" s="165"/>
      <c r="O17" s="165"/>
      <c r="P17" s="165"/>
      <c r="Q17" s="165"/>
      <c r="R17" s="165"/>
      <c r="S17" s="165"/>
    </row>
    <row r="18" spans="1:19" ht="15.65" x14ac:dyDescent="0.3">
      <c r="A18" s="162"/>
      <c r="B18" s="116" t="s">
        <v>118</v>
      </c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</row>
    <row r="19" spans="1:19" ht="15.65" x14ac:dyDescent="0.3">
      <c r="A19" s="162"/>
      <c r="B19" s="68" t="s">
        <v>119</v>
      </c>
    </row>
    <row r="20" spans="1:19" ht="15.65" x14ac:dyDescent="0.3">
      <c r="A20" s="162"/>
      <c r="C20" s="116" t="s">
        <v>120</v>
      </c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</row>
    <row r="21" spans="1:19" ht="15.65" x14ac:dyDescent="0.3">
      <c r="A21" s="162"/>
      <c r="C21" s="68" t="s">
        <v>121</v>
      </c>
    </row>
    <row r="22" spans="1:19" ht="15.65" x14ac:dyDescent="0.3">
      <c r="A22" s="162"/>
      <c r="C22" s="116" t="s">
        <v>122</v>
      </c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</row>
    <row r="23" spans="1:19" ht="29.45" customHeight="1" x14ac:dyDescent="0.3">
      <c r="A23" s="162"/>
      <c r="D23" s="213" t="s">
        <v>123</v>
      </c>
      <c r="E23" s="214"/>
      <c r="G23" s="217" t="s">
        <v>124</v>
      </c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</row>
    <row r="24" spans="1:19" ht="31.3" customHeight="1" x14ac:dyDescent="0.3">
      <c r="A24" s="162"/>
      <c r="D24" s="70" t="s">
        <v>125</v>
      </c>
      <c r="E24" s="67" t="s">
        <v>126</v>
      </c>
      <c r="G24" s="216" t="s">
        <v>127</v>
      </c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</row>
    <row r="25" spans="1:19" ht="15.65" x14ac:dyDescent="0.3">
      <c r="A25" s="162"/>
      <c r="D25" s="65">
        <v>0</v>
      </c>
      <c r="E25" s="66">
        <v>100</v>
      </c>
      <c r="G25" s="68" t="s">
        <v>128</v>
      </c>
    </row>
    <row r="26" spans="1:19" ht="15.65" x14ac:dyDescent="0.3">
      <c r="A26" s="162"/>
      <c r="D26" s="99">
        <v>100</v>
      </c>
      <c r="E26" s="67"/>
    </row>
    <row r="27" spans="1:19" ht="15.65" x14ac:dyDescent="0.3">
      <c r="A27" s="162"/>
      <c r="D27" s="100">
        <v>370000</v>
      </c>
      <c r="E27" s="69">
        <v>0</v>
      </c>
    </row>
    <row r="28" spans="1:19" ht="15.65" x14ac:dyDescent="0.3">
      <c r="A28" s="162"/>
    </row>
    <row r="29" spans="1:19" ht="15.05" customHeight="1" x14ac:dyDescent="0.3">
      <c r="A29" s="162"/>
      <c r="D29" s="213" t="s">
        <v>123</v>
      </c>
      <c r="E29" s="214"/>
      <c r="G29" s="116" t="s">
        <v>129</v>
      </c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</row>
    <row r="30" spans="1:19" ht="15.65" x14ac:dyDescent="0.3">
      <c r="A30" s="162"/>
      <c r="D30" s="70" t="s">
        <v>125</v>
      </c>
      <c r="E30" s="67" t="s">
        <v>126</v>
      </c>
      <c r="G30" s="68" t="s">
        <v>130</v>
      </c>
    </row>
    <row r="31" spans="1:19" ht="15.65" x14ac:dyDescent="0.3">
      <c r="A31" s="162"/>
      <c r="D31" s="65">
        <v>0</v>
      </c>
      <c r="E31" s="66">
        <v>100</v>
      </c>
    </row>
    <row r="32" spans="1:19" ht="30.05" customHeight="1" x14ac:dyDescent="0.3">
      <c r="A32" s="162"/>
      <c r="D32" s="99">
        <v>100</v>
      </c>
      <c r="E32" s="67">
        <v>85</v>
      </c>
      <c r="G32" s="216" t="s">
        <v>131</v>
      </c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</row>
    <row r="33" spans="1:19" ht="15.65" x14ac:dyDescent="0.3">
      <c r="A33" s="162"/>
      <c r="D33" s="99">
        <v>900</v>
      </c>
      <c r="E33" s="101">
        <v>70</v>
      </c>
      <c r="H33" s="68" t="s">
        <v>132</v>
      </c>
    </row>
    <row r="34" spans="1:19" ht="15.65" x14ac:dyDescent="0.3">
      <c r="A34" s="162"/>
      <c r="D34" s="100">
        <v>370000</v>
      </c>
      <c r="E34" s="69">
        <v>0</v>
      </c>
      <c r="H34" s="216" t="s">
        <v>133</v>
      </c>
      <c r="I34" s="216"/>
      <c r="J34" s="216"/>
      <c r="K34" s="216"/>
      <c r="L34" s="216"/>
      <c r="M34" s="216"/>
      <c r="N34" s="216"/>
      <c r="O34" s="216"/>
      <c r="P34" s="216"/>
      <c r="Q34" s="216"/>
      <c r="R34" s="216"/>
    </row>
    <row r="35" spans="1:19" ht="32.75" customHeight="1" x14ac:dyDescent="0.3">
      <c r="A35" s="162"/>
      <c r="H35" s="218" t="s">
        <v>134</v>
      </c>
      <c r="I35" s="218"/>
      <c r="J35" s="218"/>
      <c r="K35" s="218"/>
      <c r="L35" s="218"/>
      <c r="M35" s="218"/>
      <c r="N35" s="218"/>
      <c r="O35" s="218"/>
      <c r="P35" s="218"/>
      <c r="Q35" s="218"/>
      <c r="R35" s="218"/>
    </row>
    <row r="36" spans="1:19" ht="15.65" x14ac:dyDescent="0.3">
      <c r="A36" s="162"/>
    </row>
    <row r="37" spans="1:19" ht="30.05" customHeight="1" x14ac:dyDescent="0.3">
      <c r="A37" s="212" t="s">
        <v>204</v>
      </c>
      <c r="B37" s="219" t="s">
        <v>135</v>
      </c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165"/>
    </row>
    <row r="38" spans="1:19" ht="29.45" customHeight="1" x14ac:dyDescent="0.3">
      <c r="A38" s="162"/>
      <c r="B38" s="216" t="s">
        <v>136</v>
      </c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</row>
    <row r="39" spans="1:19" ht="15.65" x14ac:dyDescent="0.3">
      <c r="A39" s="162"/>
    </row>
    <row r="40" spans="1:19" ht="31.3" customHeight="1" x14ac:dyDescent="0.3">
      <c r="A40" s="161" t="s">
        <v>225</v>
      </c>
      <c r="B40" s="219" t="s">
        <v>137</v>
      </c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165"/>
    </row>
    <row r="41" spans="1:19" ht="34" customHeight="1" x14ac:dyDescent="0.3">
      <c r="A41" s="162"/>
      <c r="B41" s="216" t="s">
        <v>138</v>
      </c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</row>
    <row r="42" spans="1:19" ht="15.65" x14ac:dyDescent="0.3">
      <c r="A42" s="162"/>
    </row>
    <row r="43" spans="1:19" ht="15.65" x14ac:dyDescent="0.3">
      <c r="A43" s="162"/>
    </row>
    <row r="44" spans="1:19" ht="15.65" x14ac:dyDescent="0.3">
      <c r="A44" s="162"/>
    </row>
  </sheetData>
  <mergeCells count="12">
    <mergeCell ref="H35:R35"/>
    <mergeCell ref="B41:R41"/>
    <mergeCell ref="B40:R40"/>
    <mergeCell ref="B38:R38"/>
    <mergeCell ref="B37:R37"/>
    <mergeCell ref="D23:E23"/>
    <mergeCell ref="D29:E29"/>
    <mergeCell ref="B4:R4"/>
    <mergeCell ref="H34:R34"/>
    <mergeCell ref="G32:R32"/>
    <mergeCell ref="G24:R24"/>
    <mergeCell ref="G23:R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6CB7B-A9D2-4E4C-8816-2B8B50011A2B}">
  <dimension ref="A1:AM27"/>
  <sheetViews>
    <sheetView zoomScale="85" zoomScaleNormal="85" workbookViewId="0">
      <pane xSplit="1" ySplit="2" topLeftCell="XEF10" activePane="bottomRight" state="frozen"/>
      <selection pane="topRight" activeCell="C1" sqref="C1"/>
      <selection pane="bottomLeft" activeCell="A3" sqref="A3"/>
      <selection pane="bottomRight" activeCell="XEN28" sqref="XEN28"/>
    </sheetView>
  </sheetViews>
  <sheetFormatPr defaultRowHeight="15.05" x14ac:dyDescent="0.3"/>
  <cols>
    <col min="1" max="1" width="18.5546875" bestFit="1" customWidth="1"/>
    <col min="2" max="2" width="24.33203125" customWidth="1"/>
    <col min="3" max="3" width="9" customWidth="1"/>
    <col min="4" max="4" width="15.6640625" customWidth="1"/>
    <col min="5" max="5" width="9.44140625" bestFit="1" customWidth="1"/>
    <col min="6" max="6" width="9.33203125" bestFit="1" customWidth="1"/>
    <col min="7" max="7" width="12.88671875" customWidth="1"/>
    <col min="8" max="8" width="15.6640625" customWidth="1"/>
    <col min="9" max="9" width="23.88671875" customWidth="1"/>
    <col min="10" max="10" width="11.33203125" customWidth="1"/>
    <col min="11" max="11" width="14.5546875" customWidth="1"/>
    <col min="12" max="12" width="15.6640625" customWidth="1"/>
    <col min="13" max="13" width="14" customWidth="1"/>
    <col min="14" max="14" width="11.44140625" bestFit="1" customWidth="1"/>
    <col min="15" max="15" width="15.33203125" customWidth="1"/>
    <col min="16" max="16" width="14.33203125" bestFit="1" customWidth="1"/>
    <col min="17" max="17" width="18.6640625" bestFit="1" customWidth="1"/>
    <col min="18" max="18" width="13" bestFit="1" customWidth="1"/>
    <col min="19" max="19" width="20.33203125" customWidth="1"/>
    <col min="20" max="20" width="11.5546875" customWidth="1"/>
    <col min="21" max="21" width="20.109375" bestFit="1" customWidth="1"/>
    <col min="22" max="22" width="15.33203125" customWidth="1"/>
    <col min="23" max="23" width="18.109375" customWidth="1"/>
    <col min="24" max="24" width="13.5546875" bestFit="1" customWidth="1"/>
    <col min="25" max="25" width="20.109375" bestFit="1" customWidth="1"/>
    <col min="26" max="26" width="20.109375" customWidth="1"/>
    <col min="27" max="28" width="17.44140625" customWidth="1"/>
    <col min="29" max="29" width="19.44140625" customWidth="1"/>
    <col min="30" max="30" width="18.5546875" customWidth="1"/>
    <col min="31" max="31" width="16.33203125" customWidth="1"/>
    <col min="32" max="32" width="15.109375" customWidth="1"/>
    <col min="33" max="33" width="17" customWidth="1"/>
    <col min="34" max="34" width="15.44140625" customWidth="1"/>
    <col min="35" max="36" width="14.88671875" customWidth="1"/>
    <col min="37" max="37" width="19.6640625" customWidth="1"/>
    <col min="38" max="38" width="16.33203125" customWidth="1"/>
    <col min="39" max="39" width="14.5546875" style="16" customWidth="1"/>
  </cols>
  <sheetData>
    <row r="1" spans="1:39" s="12" customFormat="1" ht="45.1" x14ac:dyDescent="0.3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21" t="s">
        <v>223</v>
      </c>
      <c r="T1" s="12" t="s">
        <v>18</v>
      </c>
      <c r="U1" s="12" t="s">
        <v>19</v>
      </c>
      <c r="V1" s="12" t="s">
        <v>20</v>
      </c>
      <c r="W1" s="21" t="s">
        <v>21</v>
      </c>
      <c r="X1" s="12" t="s">
        <v>139</v>
      </c>
      <c r="Y1" s="12" t="s">
        <v>22</v>
      </c>
      <c r="Z1" s="12" t="s">
        <v>23</v>
      </c>
      <c r="AA1" s="12" t="s">
        <v>24</v>
      </c>
      <c r="AB1" s="21" t="s">
        <v>25</v>
      </c>
      <c r="AC1" s="12" t="s">
        <v>26</v>
      </c>
      <c r="AD1" s="12" t="s">
        <v>27</v>
      </c>
      <c r="AE1" s="12" t="s">
        <v>28</v>
      </c>
      <c r="AF1" s="12" t="s">
        <v>29</v>
      </c>
      <c r="AG1" s="12" t="s">
        <v>30</v>
      </c>
      <c r="AH1" s="12" t="s">
        <v>144</v>
      </c>
      <c r="AI1" s="12" t="s">
        <v>31</v>
      </c>
      <c r="AJ1" s="12" t="s">
        <v>32</v>
      </c>
      <c r="AK1" s="21" t="s">
        <v>33</v>
      </c>
      <c r="AL1" s="12" t="s">
        <v>145</v>
      </c>
      <c r="AM1" s="12" t="s">
        <v>146</v>
      </c>
    </row>
    <row r="2" spans="1:39" x14ac:dyDescent="0.3">
      <c r="A2" s="2" t="s">
        <v>34</v>
      </c>
      <c r="B2" s="2"/>
      <c r="C2" s="2"/>
      <c r="D2" s="1"/>
      <c r="E2" t="s">
        <v>35</v>
      </c>
      <c r="F2" s="13" t="s">
        <v>36</v>
      </c>
      <c r="G2" s="1"/>
      <c r="H2" s="1"/>
      <c r="I2" s="1"/>
      <c r="J2" s="1"/>
      <c r="K2" t="s">
        <v>37</v>
      </c>
      <c r="L2" t="s">
        <v>37</v>
      </c>
      <c r="M2" t="s">
        <v>37</v>
      </c>
      <c r="N2" s="1" t="s">
        <v>38</v>
      </c>
      <c r="O2" s="1" t="s">
        <v>38</v>
      </c>
      <c r="P2" s="1" t="s">
        <v>38</v>
      </c>
      <c r="Q2" s="1" t="s">
        <v>38</v>
      </c>
      <c r="R2" s="1" t="s">
        <v>38</v>
      </c>
      <c r="S2" s="17" t="s">
        <v>38</v>
      </c>
      <c r="T2" s="1" t="s">
        <v>38</v>
      </c>
      <c r="U2" s="1" t="s">
        <v>38</v>
      </c>
      <c r="V2" s="1" t="s">
        <v>38</v>
      </c>
      <c r="W2" s="17" t="s">
        <v>38</v>
      </c>
      <c r="X2" s="1" t="s">
        <v>38</v>
      </c>
      <c r="Y2" s="1" t="s">
        <v>38</v>
      </c>
      <c r="Z2" s="1" t="s">
        <v>38</v>
      </c>
      <c r="AA2" s="1" t="s">
        <v>38</v>
      </c>
      <c r="AB2" s="1" t="s">
        <v>38</v>
      </c>
      <c r="AC2" s="1" t="s">
        <v>38</v>
      </c>
      <c r="AD2" s="1" t="s">
        <v>38</v>
      </c>
      <c r="AE2" s="1" t="s">
        <v>38</v>
      </c>
      <c r="AF2" s="1" t="s">
        <v>38</v>
      </c>
      <c r="AG2" s="1" t="s">
        <v>38</v>
      </c>
      <c r="AH2" s="1" t="s">
        <v>38</v>
      </c>
      <c r="AI2" s="1" t="s">
        <v>38</v>
      </c>
      <c r="AJ2" s="1" t="s">
        <v>38</v>
      </c>
      <c r="AK2" s="17" t="s">
        <v>38</v>
      </c>
      <c r="AL2" t="s">
        <v>147</v>
      </c>
    </row>
    <row r="3" spans="1:39" x14ac:dyDescent="0.3">
      <c r="A3" s="3" t="s">
        <v>39</v>
      </c>
      <c r="B3" s="182" t="s">
        <v>40</v>
      </c>
      <c r="C3" s="2">
        <v>3</v>
      </c>
      <c r="D3" s="13" t="s">
        <v>41</v>
      </c>
      <c r="E3" s="29">
        <v>848</v>
      </c>
      <c r="F3" s="29"/>
      <c r="G3" s="11" t="s">
        <v>42</v>
      </c>
      <c r="H3" s="11" t="s">
        <v>43</v>
      </c>
      <c r="I3" s="1" t="s">
        <v>44</v>
      </c>
      <c r="J3" s="1" t="s">
        <v>45</v>
      </c>
      <c r="K3" s="28">
        <v>2485664</v>
      </c>
      <c r="L3" s="28">
        <v>2440366.6</v>
      </c>
      <c r="M3" s="29"/>
      <c r="N3" s="29"/>
      <c r="O3" s="28">
        <v>1673</v>
      </c>
      <c r="P3" s="28"/>
      <c r="Q3" s="28">
        <v>223362000</v>
      </c>
      <c r="R3" s="28">
        <v>477930</v>
      </c>
      <c r="S3" s="33">
        <f>SUM(O3:R3)</f>
        <v>223841603</v>
      </c>
      <c r="T3" s="28"/>
      <c r="U3" s="29"/>
      <c r="V3" s="29"/>
      <c r="W3" s="34">
        <f t="shared" ref="W3:W26" si="0">SUM(S3:V3)</f>
        <v>223841603</v>
      </c>
      <c r="X3" s="28">
        <v>1673</v>
      </c>
      <c r="Y3" s="28">
        <v>0</v>
      </c>
      <c r="Z3" s="28">
        <v>477930</v>
      </c>
      <c r="AA3" s="28">
        <v>223362000</v>
      </c>
      <c r="AB3" s="28">
        <v>223362000</v>
      </c>
      <c r="AC3" s="28">
        <v>223362000</v>
      </c>
      <c r="AD3" s="28"/>
      <c r="AE3" s="28">
        <v>215098</v>
      </c>
      <c r="AF3" s="29"/>
      <c r="AG3" s="29"/>
      <c r="AH3" s="29"/>
      <c r="AI3" s="29"/>
      <c r="AJ3" s="29"/>
      <c r="AK3" s="29">
        <f>IFERROR(SUM(AE3:AI3)-Y3,SUM(AE3:AI3))</f>
        <v>215098</v>
      </c>
      <c r="AL3">
        <v>21.17</v>
      </c>
      <c r="AM3" s="16" t="s">
        <v>42</v>
      </c>
    </row>
    <row r="4" spans="1:39" x14ac:dyDescent="0.3">
      <c r="A4" s="3" t="s">
        <v>46</v>
      </c>
      <c r="B4" s="182" t="s">
        <v>47</v>
      </c>
      <c r="C4" s="2">
        <v>3</v>
      </c>
      <c r="D4" s="13" t="s">
        <v>41</v>
      </c>
      <c r="E4" s="29">
        <v>1237</v>
      </c>
      <c r="F4" s="29"/>
      <c r="G4" s="11" t="s">
        <v>42</v>
      </c>
      <c r="H4" s="11" t="s">
        <v>43</v>
      </c>
      <c r="I4" s="1" t="s">
        <v>44</v>
      </c>
      <c r="J4" s="1" t="s">
        <v>45</v>
      </c>
      <c r="K4" s="28">
        <v>3022984</v>
      </c>
      <c r="L4" s="28">
        <v>2964373</v>
      </c>
      <c r="M4" s="29"/>
      <c r="N4" s="29"/>
      <c r="O4" s="28">
        <v>12400</v>
      </c>
      <c r="P4" s="28"/>
      <c r="Q4" s="28">
        <f xml:space="preserve"> 255480*1000</f>
        <v>255480000</v>
      </c>
      <c r="R4" s="28">
        <v>329499</v>
      </c>
      <c r="S4" s="33">
        <f t="shared" ref="S4:S26" si="1">SUM(O4:R4)</f>
        <v>255821899</v>
      </c>
      <c r="T4" s="29"/>
      <c r="U4" s="29"/>
      <c r="V4" s="29"/>
      <c r="W4" s="34">
        <f t="shared" si="0"/>
        <v>255821899</v>
      </c>
      <c r="X4" s="28">
        <v>12400</v>
      </c>
      <c r="Y4" s="28">
        <v>102202</v>
      </c>
      <c r="Z4" s="28">
        <v>329499</v>
      </c>
      <c r="AA4" s="28">
        <f xml:space="preserve"> 255480*1000</f>
        <v>255480000</v>
      </c>
      <c r="AB4" s="28">
        <f xml:space="preserve"> 255480*1000</f>
        <v>255480000</v>
      </c>
      <c r="AC4" s="28">
        <f xml:space="preserve"> 255480*1000</f>
        <v>255480000</v>
      </c>
      <c r="AD4" s="28"/>
      <c r="AE4" s="28">
        <f>107582+Y4</f>
        <v>209784</v>
      </c>
      <c r="AF4" s="29"/>
      <c r="AG4" s="29"/>
      <c r="AH4" s="29"/>
      <c r="AI4" s="29"/>
      <c r="AJ4" s="29"/>
      <c r="AK4" s="29">
        <f t="shared" ref="AK4:AK26" si="2">IFERROR(SUM(AE4:AI4)-Y4,SUM(AE4:AI4))</f>
        <v>107582</v>
      </c>
      <c r="AL4">
        <v>19.63</v>
      </c>
      <c r="AM4" s="16" t="s">
        <v>42</v>
      </c>
    </row>
    <row r="5" spans="1:39" x14ac:dyDescent="0.3">
      <c r="A5" s="3" t="s">
        <v>48</v>
      </c>
      <c r="B5" s="182" t="s">
        <v>49</v>
      </c>
      <c r="C5" s="2">
        <v>2</v>
      </c>
      <c r="D5" s="13" t="s">
        <v>41</v>
      </c>
      <c r="E5" s="29">
        <v>840</v>
      </c>
      <c r="F5" s="29"/>
      <c r="G5" s="11" t="s">
        <v>42</v>
      </c>
      <c r="H5" s="11" t="s">
        <v>43</v>
      </c>
      <c r="I5" s="1" t="s">
        <v>50</v>
      </c>
      <c r="J5" s="1" t="s">
        <v>51</v>
      </c>
      <c r="K5" s="28">
        <v>1979751</v>
      </c>
      <c r="L5" s="28">
        <v>1941397</v>
      </c>
      <c r="M5" s="28"/>
      <c r="N5" s="29"/>
      <c r="O5" s="28">
        <v>1404</v>
      </c>
      <c r="P5" s="28"/>
      <c r="Q5" s="28"/>
      <c r="R5" s="28">
        <v>8745</v>
      </c>
      <c r="S5" s="33">
        <f t="shared" si="1"/>
        <v>10149</v>
      </c>
      <c r="T5" s="28">
        <v>10681</v>
      </c>
      <c r="U5" s="29"/>
      <c r="V5" s="35">
        <v>17426</v>
      </c>
      <c r="W5" s="34">
        <f t="shared" si="0"/>
        <v>38256</v>
      </c>
      <c r="X5" s="37">
        <f>O5+R5</f>
        <v>10149</v>
      </c>
      <c r="Y5" s="28"/>
      <c r="Z5" s="28">
        <v>17426</v>
      </c>
      <c r="AA5" s="28">
        <v>0</v>
      </c>
      <c r="AB5" s="28">
        <v>0</v>
      </c>
      <c r="AC5" s="28"/>
      <c r="AD5" s="28"/>
      <c r="AE5" s="28"/>
      <c r="AF5" s="29"/>
      <c r="AG5" s="29"/>
      <c r="AH5" s="29"/>
      <c r="AI5" s="29"/>
      <c r="AJ5" s="29"/>
      <c r="AK5" s="95">
        <f t="shared" si="2"/>
        <v>0</v>
      </c>
      <c r="AL5">
        <f>(20+25)/2</f>
        <v>22.5</v>
      </c>
      <c r="AM5" s="16" t="s">
        <v>148</v>
      </c>
    </row>
    <row r="6" spans="1:39" x14ac:dyDescent="0.3">
      <c r="A6" s="3" t="s">
        <v>52</v>
      </c>
      <c r="B6" s="182" t="s">
        <v>53</v>
      </c>
      <c r="C6" s="2">
        <v>3</v>
      </c>
      <c r="D6" s="13" t="s">
        <v>41</v>
      </c>
      <c r="E6" s="29">
        <v>380</v>
      </c>
      <c r="F6" s="29"/>
      <c r="G6" s="11" t="s">
        <v>42</v>
      </c>
      <c r="H6" s="11" t="s">
        <v>43</v>
      </c>
      <c r="I6" s="1" t="s">
        <v>44</v>
      </c>
      <c r="J6" s="1" t="s">
        <v>45</v>
      </c>
      <c r="K6" s="28">
        <v>944286.7</v>
      </c>
      <c r="L6" s="28">
        <v>922605</v>
      </c>
      <c r="M6" s="28"/>
      <c r="N6" s="29"/>
      <c r="O6" s="28">
        <v>1030</v>
      </c>
      <c r="P6" s="28"/>
      <c r="Q6" s="28">
        <v>72773218</v>
      </c>
      <c r="R6" s="29"/>
      <c r="S6" s="33">
        <f t="shared" si="1"/>
        <v>72774248</v>
      </c>
      <c r="T6" s="29"/>
      <c r="U6" s="29"/>
      <c r="V6" s="29"/>
      <c r="W6" s="34">
        <f t="shared" si="0"/>
        <v>72774248</v>
      </c>
      <c r="X6" s="28">
        <v>1030</v>
      </c>
      <c r="Y6" s="28">
        <v>0</v>
      </c>
      <c r="Z6" s="28">
        <v>3730</v>
      </c>
      <c r="AA6" s="28">
        <v>72718135</v>
      </c>
      <c r="AB6" s="28">
        <v>72773218</v>
      </c>
      <c r="AC6" s="28">
        <v>72773218</v>
      </c>
      <c r="AD6" s="28"/>
      <c r="AE6" s="28"/>
      <c r="AF6" s="29"/>
      <c r="AG6" s="29"/>
      <c r="AH6" s="29"/>
      <c r="AI6" s="29"/>
      <c r="AJ6" s="29"/>
      <c r="AK6" s="29">
        <f t="shared" si="2"/>
        <v>0</v>
      </c>
      <c r="AL6">
        <v>19.329999999999998</v>
      </c>
      <c r="AM6" s="16" t="s">
        <v>42</v>
      </c>
    </row>
    <row r="7" spans="1:39" x14ac:dyDescent="0.3">
      <c r="A7" s="3" t="s">
        <v>54</v>
      </c>
      <c r="B7" s="182" t="s">
        <v>55</v>
      </c>
      <c r="C7" s="2">
        <v>3</v>
      </c>
      <c r="D7" s="11" t="s">
        <v>56</v>
      </c>
      <c r="E7" s="29">
        <v>336</v>
      </c>
      <c r="F7" s="29"/>
      <c r="G7" s="11" t="s">
        <v>43</v>
      </c>
      <c r="H7" s="11" t="s">
        <v>43</v>
      </c>
      <c r="I7" s="1" t="s">
        <v>44</v>
      </c>
      <c r="J7" s="1" t="s">
        <v>45</v>
      </c>
      <c r="K7" s="28">
        <v>735000</v>
      </c>
      <c r="L7" s="28">
        <v>662600</v>
      </c>
      <c r="M7" s="28"/>
      <c r="N7" s="28"/>
      <c r="O7" s="28">
        <v>4300</v>
      </c>
      <c r="P7" s="28"/>
      <c r="Q7" s="28"/>
      <c r="R7" s="28">
        <v>624300</v>
      </c>
      <c r="S7" s="33">
        <f t="shared" si="1"/>
        <v>628600</v>
      </c>
      <c r="T7" s="29"/>
      <c r="U7" s="38">
        <v>111563000</v>
      </c>
      <c r="V7" s="29"/>
      <c r="W7" s="34">
        <f t="shared" si="0"/>
        <v>112191600</v>
      </c>
      <c r="X7" s="38">
        <v>4300</v>
      </c>
      <c r="Y7" s="28">
        <v>0</v>
      </c>
      <c r="Z7" s="28" t="s">
        <v>57</v>
      </c>
      <c r="AA7" s="28">
        <v>111563000</v>
      </c>
      <c r="AB7" s="28">
        <v>111563000</v>
      </c>
      <c r="AC7" s="28"/>
      <c r="AD7" s="28">
        <v>111563000</v>
      </c>
      <c r="AE7" s="28">
        <v>310200</v>
      </c>
      <c r="AF7" s="29"/>
      <c r="AG7" s="29"/>
      <c r="AH7" s="29"/>
      <c r="AI7" s="29"/>
      <c r="AJ7" s="29"/>
      <c r="AK7" s="29">
        <f t="shared" si="2"/>
        <v>310200</v>
      </c>
      <c r="AL7">
        <f>(15.786+22.103+17.448+14.125+22.103)/5</f>
        <v>18.312999999999999</v>
      </c>
      <c r="AM7" s="16" t="s">
        <v>148</v>
      </c>
    </row>
    <row r="8" spans="1:39" x14ac:dyDescent="0.3">
      <c r="A8" s="3" t="s">
        <v>58</v>
      </c>
      <c r="B8" s="182" t="s">
        <v>59</v>
      </c>
      <c r="C8" s="2">
        <v>3</v>
      </c>
      <c r="D8" s="13" t="s">
        <v>41</v>
      </c>
      <c r="E8" s="44">
        <v>1158</v>
      </c>
      <c r="F8" s="29"/>
      <c r="G8" s="11" t="s">
        <v>42</v>
      </c>
      <c r="H8" s="11" t="s">
        <v>43</v>
      </c>
      <c r="I8" s="1" t="s">
        <v>44</v>
      </c>
      <c r="J8" s="1" t="s">
        <v>45</v>
      </c>
      <c r="K8" s="28">
        <v>1983145.1</v>
      </c>
      <c r="L8" s="28">
        <v>1922723.4</v>
      </c>
      <c r="M8" s="28"/>
      <c r="N8" s="28"/>
      <c r="O8" s="28">
        <v>9189</v>
      </c>
      <c r="P8" s="28"/>
      <c r="Q8" s="28">
        <f>353743720+272298</f>
        <v>354016018</v>
      </c>
      <c r="R8" s="28"/>
      <c r="S8" s="33">
        <f t="shared" si="1"/>
        <v>354025207</v>
      </c>
      <c r="T8" s="28"/>
      <c r="U8" s="28"/>
      <c r="V8" s="28">
        <v>248671</v>
      </c>
      <c r="W8" s="34">
        <f t="shared" si="0"/>
        <v>354273878</v>
      </c>
      <c r="X8" s="28">
        <v>9189</v>
      </c>
      <c r="Y8" s="28">
        <v>248671</v>
      </c>
      <c r="Z8" s="28" t="s">
        <v>57</v>
      </c>
      <c r="AA8" s="28">
        <v>353743720</v>
      </c>
      <c r="AB8" s="28">
        <v>353743720</v>
      </c>
      <c r="AC8" s="28">
        <f>353743720+71483</f>
        <v>353815203</v>
      </c>
      <c r="AD8" s="28"/>
      <c r="AE8" s="28">
        <f>71483+Y8</f>
        <v>320154</v>
      </c>
      <c r="AF8" s="29"/>
      <c r="AG8" s="29"/>
      <c r="AH8" s="29"/>
      <c r="AI8" s="29"/>
      <c r="AJ8" s="29"/>
      <c r="AK8" s="29">
        <f t="shared" si="2"/>
        <v>71483</v>
      </c>
      <c r="AL8" s="96" t="s">
        <v>149</v>
      </c>
      <c r="AM8" s="16" t="s">
        <v>148</v>
      </c>
    </row>
    <row r="9" spans="1:39" x14ac:dyDescent="0.3">
      <c r="A9" s="3" t="s">
        <v>60</v>
      </c>
      <c r="B9" s="182" t="s">
        <v>60</v>
      </c>
      <c r="C9" s="2">
        <v>3</v>
      </c>
      <c r="D9" s="13" t="s">
        <v>41</v>
      </c>
      <c r="E9" s="44">
        <v>841</v>
      </c>
      <c r="F9" s="29"/>
      <c r="G9" s="11" t="s">
        <v>42</v>
      </c>
      <c r="H9" s="11" t="s">
        <v>43</v>
      </c>
      <c r="I9" s="1" t="s">
        <v>44</v>
      </c>
      <c r="J9" s="1" t="s">
        <v>45</v>
      </c>
      <c r="K9" s="28">
        <v>1790447.39</v>
      </c>
      <c r="L9" s="28">
        <v>1759721.02</v>
      </c>
      <c r="M9" s="28"/>
      <c r="N9" s="28"/>
      <c r="O9" s="28">
        <v>4956.9769999999999</v>
      </c>
      <c r="P9" s="28"/>
      <c r="Q9" s="28">
        <v>219739574.59999999</v>
      </c>
      <c r="R9" s="28">
        <v>593593.77300000004</v>
      </c>
      <c r="S9" s="33">
        <f t="shared" si="1"/>
        <v>220338125.34999999</v>
      </c>
      <c r="T9" s="28"/>
      <c r="U9" s="28"/>
      <c r="V9" s="28"/>
      <c r="W9" s="34">
        <f t="shared" si="0"/>
        <v>220338125.34999999</v>
      </c>
      <c r="X9" s="28">
        <v>4956.9769999999999</v>
      </c>
      <c r="Y9" s="28">
        <v>0</v>
      </c>
      <c r="Z9" s="28" t="s">
        <v>57</v>
      </c>
      <c r="AA9" s="28">
        <v>219739574.59999999</v>
      </c>
      <c r="AB9" s="28">
        <v>219739574.59999999</v>
      </c>
      <c r="AC9" s="28">
        <v>219739574.59999999</v>
      </c>
      <c r="AD9" s="28"/>
      <c r="AE9" s="28">
        <v>247015.022</v>
      </c>
      <c r="AF9" s="29"/>
      <c r="AG9" s="29"/>
      <c r="AH9" s="29"/>
      <c r="AI9" s="29"/>
      <c r="AJ9" s="29"/>
      <c r="AK9" s="29">
        <f t="shared" si="2"/>
        <v>247015.022</v>
      </c>
      <c r="AL9" s="18">
        <f>(15.5+25.05)/2</f>
        <v>20.274999999999999</v>
      </c>
      <c r="AM9" s="16" t="s">
        <v>148</v>
      </c>
    </row>
    <row r="10" spans="1:39" x14ac:dyDescent="0.3">
      <c r="A10" s="4" t="s">
        <v>61</v>
      </c>
      <c r="B10" s="183" t="s">
        <v>62</v>
      </c>
      <c r="C10" s="2">
        <v>3</v>
      </c>
      <c r="D10" s="13" t="s">
        <v>41</v>
      </c>
      <c r="E10" s="45">
        <v>100</v>
      </c>
      <c r="F10" s="45">
        <v>46</v>
      </c>
      <c r="G10" s="11" t="s">
        <v>42</v>
      </c>
      <c r="H10" s="11" t="s">
        <v>42</v>
      </c>
      <c r="I10" s="1" t="s">
        <v>63</v>
      </c>
      <c r="J10" s="1" t="s">
        <v>64</v>
      </c>
      <c r="K10" s="29"/>
      <c r="L10" s="28">
        <v>547369</v>
      </c>
      <c r="M10" s="28">
        <v>330127</v>
      </c>
      <c r="N10" s="28"/>
      <c r="O10" s="28">
        <v>5153</v>
      </c>
      <c r="P10" s="28"/>
      <c r="Q10" s="28">
        <v>550844</v>
      </c>
      <c r="R10" s="28"/>
      <c r="S10" s="33">
        <f t="shared" si="1"/>
        <v>555997</v>
      </c>
      <c r="T10" s="28"/>
      <c r="U10" s="28"/>
      <c r="V10" s="28"/>
      <c r="W10" s="34">
        <f t="shared" si="0"/>
        <v>555997</v>
      </c>
      <c r="X10" s="28">
        <v>5153</v>
      </c>
      <c r="Y10" s="28" t="s">
        <v>57</v>
      </c>
      <c r="Z10" s="28">
        <v>473341</v>
      </c>
      <c r="AA10" s="28">
        <f>14151+4381</f>
        <v>18532</v>
      </c>
      <c r="AB10" s="28"/>
      <c r="AC10" s="28"/>
      <c r="AD10" s="28"/>
      <c r="AE10" s="28"/>
      <c r="AF10" s="28">
        <v>192558</v>
      </c>
      <c r="AG10" s="29"/>
      <c r="AH10" s="29"/>
      <c r="AI10" s="29"/>
      <c r="AJ10" s="29"/>
      <c r="AK10" s="29">
        <f>IFERROR(SUM(AE10:AI10)-Y10,SUM(AE10:AI10))</f>
        <v>192558</v>
      </c>
      <c r="AL10" s="96" t="s">
        <v>149</v>
      </c>
      <c r="AM10" s="96" t="s">
        <v>149</v>
      </c>
    </row>
    <row r="11" spans="1:39" x14ac:dyDescent="0.3">
      <c r="A11" s="5" t="s">
        <v>67</v>
      </c>
      <c r="B11" s="184" t="s">
        <v>68</v>
      </c>
      <c r="C11" s="12">
        <v>3</v>
      </c>
      <c r="D11" s="13" t="s">
        <v>41</v>
      </c>
      <c r="E11" s="28">
        <v>1524</v>
      </c>
      <c r="F11" s="28"/>
      <c r="G11" s="11" t="s">
        <v>42</v>
      </c>
      <c r="H11" s="11" t="s">
        <v>43</v>
      </c>
      <c r="I11" s="1" t="s">
        <v>44</v>
      </c>
      <c r="J11" s="1"/>
      <c r="K11" s="29"/>
      <c r="L11" s="28">
        <v>3908528</v>
      </c>
      <c r="M11" s="29"/>
      <c r="N11" s="29"/>
      <c r="O11" s="28">
        <v>5751</v>
      </c>
      <c r="P11" s="29"/>
      <c r="Q11" s="28">
        <v>567000000</v>
      </c>
      <c r="R11" s="29"/>
      <c r="S11" s="33">
        <f t="shared" si="1"/>
        <v>567005751</v>
      </c>
      <c r="T11" s="29"/>
      <c r="U11" s="29"/>
      <c r="V11" s="29"/>
      <c r="W11" s="34">
        <f t="shared" si="0"/>
        <v>567005751</v>
      </c>
      <c r="X11" s="28">
        <v>5750</v>
      </c>
      <c r="Y11" s="28">
        <v>0</v>
      </c>
      <c r="Z11" s="28">
        <v>418556</v>
      </c>
      <c r="AA11" s="28">
        <v>565770000</v>
      </c>
      <c r="AB11" s="28">
        <v>565770000</v>
      </c>
      <c r="AC11" s="28">
        <v>565770000</v>
      </c>
      <c r="AD11" s="28"/>
      <c r="AE11" s="28">
        <v>632847</v>
      </c>
      <c r="AF11" s="29">
        <v>123000</v>
      </c>
      <c r="AG11" s="29"/>
      <c r="AH11" s="29"/>
      <c r="AI11" s="29"/>
      <c r="AJ11" s="29"/>
      <c r="AK11" s="29">
        <f t="shared" si="2"/>
        <v>755847</v>
      </c>
      <c r="AL11" s="97">
        <f>(28.98+11.005)/2</f>
        <v>19.9925</v>
      </c>
      <c r="AM11" s="16" t="s">
        <v>148</v>
      </c>
    </row>
    <row r="12" spans="1:39" x14ac:dyDescent="0.3">
      <c r="A12" s="5" t="s">
        <v>69</v>
      </c>
      <c r="B12" s="19" t="s">
        <v>70</v>
      </c>
      <c r="C12" s="12">
        <v>2</v>
      </c>
      <c r="D12" s="13" t="s">
        <v>41</v>
      </c>
      <c r="E12" s="28">
        <f>250+140</f>
        <v>390</v>
      </c>
      <c r="F12" s="29"/>
      <c r="G12" s="11" t="s">
        <v>42</v>
      </c>
      <c r="H12" s="11" t="s">
        <v>43</v>
      </c>
      <c r="I12" s="1" t="s">
        <v>65</v>
      </c>
      <c r="J12" s="1" t="s">
        <v>64</v>
      </c>
      <c r="K12" s="29"/>
      <c r="L12" s="28">
        <v>1378681</v>
      </c>
      <c r="M12" s="29"/>
      <c r="N12" s="29"/>
      <c r="O12" s="28">
        <v>2971</v>
      </c>
      <c r="P12" s="29"/>
      <c r="Q12" s="28">
        <v>1383696</v>
      </c>
      <c r="R12" s="29"/>
      <c r="S12" s="33">
        <f t="shared" si="1"/>
        <v>1386667</v>
      </c>
      <c r="T12" s="29"/>
      <c r="U12" s="29"/>
      <c r="V12" s="29"/>
      <c r="W12" s="34">
        <f t="shared" si="0"/>
        <v>1386667</v>
      </c>
      <c r="X12" s="28">
        <v>2971</v>
      </c>
      <c r="Y12" s="28">
        <v>0</v>
      </c>
      <c r="Z12" s="28" t="s">
        <v>57</v>
      </c>
      <c r="AA12" s="28">
        <v>308064</v>
      </c>
      <c r="AB12" s="28">
        <v>0</v>
      </c>
      <c r="AC12" s="28"/>
      <c r="AD12" s="28"/>
      <c r="AE12" s="28">
        <v>120153</v>
      </c>
      <c r="AF12" s="29"/>
      <c r="AG12" s="28">
        <v>41316</v>
      </c>
      <c r="AH12" s="28">
        <v>308064</v>
      </c>
      <c r="AI12" s="29"/>
      <c r="AJ12" s="29"/>
      <c r="AK12" s="29">
        <f t="shared" si="2"/>
        <v>469533</v>
      </c>
      <c r="AL12" s="18">
        <f>(19.12+16.73+19.1+18.88)/4</f>
        <v>18.4575</v>
      </c>
      <c r="AM12" s="16" t="s">
        <v>148</v>
      </c>
    </row>
    <row r="13" spans="1:39" x14ac:dyDescent="0.3">
      <c r="A13" s="5" t="s">
        <v>72</v>
      </c>
      <c r="B13" s="19" t="s">
        <v>73</v>
      </c>
      <c r="C13" s="12">
        <v>2</v>
      </c>
      <c r="D13" s="11" t="s">
        <v>56</v>
      </c>
      <c r="E13" s="28">
        <v>1980</v>
      </c>
      <c r="F13" s="29"/>
      <c r="G13" s="11" t="s">
        <v>43</v>
      </c>
      <c r="H13" s="11" t="s">
        <v>43</v>
      </c>
      <c r="I13" s="1" t="s">
        <v>44</v>
      </c>
      <c r="J13" s="1" t="s">
        <v>45</v>
      </c>
      <c r="K13" s="29"/>
      <c r="L13" s="28">
        <v>5644000</v>
      </c>
      <c r="M13" s="29"/>
      <c r="N13" s="29"/>
      <c r="O13" s="28">
        <f>(0.1)*10^6</f>
        <v>100000</v>
      </c>
      <c r="P13" s="29"/>
      <c r="Q13" s="28"/>
      <c r="R13" s="29"/>
      <c r="S13" s="33">
        <f>SUM(O13:R13)</f>
        <v>100000</v>
      </c>
      <c r="T13" s="29"/>
      <c r="U13" s="38">
        <v>1727368874</v>
      </c>
      <c r="V13" s="29"/>
      <c r="W13" s="34">
        <f t="shared" si="0"/>
        <v>1727468874</v>
      </c>
      <c r="X13" s="29" t="s">
        <v>57</v>
      </c>
      <c r="Y13" s="28">
        <v>511586</v>
      </c>
      <c r="Z13" s="28">
        <v>1600637</v>
      </c>
      <c r="AA13" s="28">
        <v>1654573028</v>
      </c>
      <c r="AB13" s="28">
        <v>1654573028</v>
      </c>
      <c r="AC13" s="28"/>
      <c r="AD13" s="28">
        <v>1654573028</v>
      </c>
      <c r="AE13" s="28">
        <v>511586</v>
      </c>
      <c r="AF13" s="29"/>
      <c r="AG13" s="29"/>
      <c r="AH13" s="29"/>
      <c r="AI13" s="29"/>
      <c r="AJ13" s="28">
        <v>67614647</v>
      </c>
      <c r="AK13" s="29">
        <f>IFERROR(SUM(AE13:AI13)-Y13,SUM(AE13:AI13))</f>
        <v>0</v>
      </c>
      <c r="AL13" s="18">
        <f>(19.88+18.7+18.5+26.56+23.4+23.29)/6</f>
        <v>21.721666666666664</v>
      </c>
      <c r="AM13" s="16" t="s">
        <v>148</v>
      </c>
    </row>
    <row r="14" spans="1:39" x14ac:dyDescent="0.3">
      <c r="A14" s="6" t="s">
        <v>74</v>
      </c>
      <c r="B14" s="1" t="s">
        <v>75</v>
      </c>
      <c r="C14" s="2">
        <v>2</v>
      </c>
      <c r="D14" s="11" t="s">
        <v>71</v>
      </c>
      <c r="E14" s="28">
        <f>250+120</f>
        <v>370</v>
      </c>
      <c r="F14" s="29"/>
      <c r="G14" s="11" t="s">
        <v>42</v>
      </c>
      <c r="H14" s="11" t="s">
        <v>43</v>
      </c>
      <c r="I14" s="1" t="s">
        <v>76</v>
      </c>
      <c r="J14" s="1" t="s">
        <v>64</v>
      </c>
      <c r="K14" s="28">
        <v>614198.4</v>
      </c>
      <c r="L14" s="28">
        <v>595080.93000000005</v>
      </c>
      <c r="M14" s="28"/>
      <c r="N14" s="28"/>
      <c r="O14" s="28">
        <v>1464</v>
      </c>
      <c r="P14" s="28">
        <v>960552</v>
      </c>
      <c r="Q14" s="28">
        <v>2876095</v>
      </c>
      <c r="R14" s="29"/>
      <c r="S14" s="33">
        <f t="shared" si="1"/>
        <v>3838111</v>
      </c>
      <c r="T14" s="29"/>
      <c r="U14" s="29"/>
      <c r="V14" s="29"/>
      <c r="W14" s="34">
        <f t="shared" si="0"/>
        <v>3838111</v>
      </c>
      <c r="X14" s="28">
        <v>1464</v>
      </c>
      <c r="Y14" s="28">
        <v>73813</v>
      </c>
      <c r="Z14" s="28" t="s">
        <v>57</v>
      </c>
      <c r="AA14" s="28" t="s">
        <v>57</v>
      </c>
      <c r="AB14" s="28"/>
      <c r="AC14" s="28">
        <f>9615+791519</f>
        <v>801134</v>
      </c>
      <c r="AD14" s="28"/>
      <c r="AE14" s="28">
        <v>791519</v>
      </c>
      <c r="AF14" s="29"/>
      <c r="AG14" s="29"/>
      <c r="AH14" s="29"/>
      <c r="AI14" s="29"/>
      <c r="AJ14" s="29"/>
      <c r="AK14" s="29">
        <f>IFERROR(SUM(AE14:AI14)-Y14,SUM(AE14:AI14))</f>
        <v>717706</v>
      </c>
      <c r="AL14" s="18">
        <f>(16.15+17.59+15.95)/3</f>
        <v>16.563333333333333</v>
      </c>
      <c r="AM14" s="96" t="s">
        <v>149</v>
      </c>
    </row>
    <row r="15" spans="1:39" x14ac:dyDescent="0.3">
      <c r="A15" s="6" t="s">
        <v>77</v>
      </c>
      <c r="B15" s="1" t="s">
        <v>78</v>
      </c>
      <c r="C15" s="2">
        <v>0</v>
      </c>
      <c r="D15" s="11" t="s">
        <v>71</v>
      </c>
      <c r="E15" s="28">
        <f>790</f>
        <v>790</v>
      </c>
      <c r="F15" s="29">
        <v>1410</v>
      </c>
      <c r="G15" s="11" t="s">
        <v>42</v>
      </c>
      <c r="H15" s="11" t="s">
        <v>43</v>
      </c>
      <c r="I15" s="1" t="s">
        <v>44</v>
      </c>
      <c r="J15" s="1" t="s">
        <v>45</v>
      </c>
      <c r="K15" s="28">
        <v>614859</v>
      </c>
      <c r="L15" s="28">
        <v>592944</v>
      </c>
      <c r="M15" s="28"/>
      <c r="N15" s="28"/>
      <c r="O15" s="28"/>
      <c r="P15" s="29"/>
      <c r="Q15" s="28"/>
      <c r="R15" s="28">
        <v>2658870</v>
      </c>
      <c r="S15" s="33">
        <f t="shared" si="1"/>
        <v>2658870</v>
      </c>
      <c r="T15" s="29"/>
      <c r="U15" s="28">
        <v>1665565200</v>
      </c>
      <c r="V15" s="29"/>
      <c r="W15" s="34">
        <f t="shared" si="0"/>
        <v>1668224070</v>
      </c>
      <c r="X15" s="29">
        <v>1000</v>
      </c>
      <c r="Y15" s="28">
        <v>0</v>
      </c>
      <c r="Z15" s="28" t="s">
        <v>57</v>
      </c>
      <c r="AA15" s="28">
        <f>U15</f>
        <v>1665565200</v>
      </c>
      <c r="AB15" s="28">
        <f>AA15</f>
        <v>1665565200</v>
      </c>
      <c r="AC15" s="28"/>
      <c r="AD15" s="28">
        <f>AB15</f>
        <v>1665565200</v>
      </c>
      <c r="AE15" s="28">
        <v>208344</v>
      </c>
      <c r="AF15" s="29"/>
      <c r="AG15" s="28"/>
      <c r="AH15" s="31"/>
      <c r="AI15" s="28"/>
      <c r="AJ15" s="31"/>
      <c r="AK15" s="29">
        <f t="shared" si="2"/>
        <v>208344</v>
      </c>
      <c r="AL15" s="18">
        <f>22.2</f>
        <v>22.2</v>
      </c>
      <c r="AM15" s="16" t="s">
        <v>148</v>
      </c>
    </row>
    <row r="16" spans="1:39" x14ac:dyDescent="0.3">
      <c r="A16" s="6" t="s">
        <v>79</v>
      </c>
      <c r="B16" s="1" t="s">
        <v>80</v>
      </c>
      <c r="C16" s="2">
        <v>2</v>
      </c>
      <c r="D16" s="11" t="s">
        <v>56</v>
      </c>
      <c r="E16" s="28">
        <v>1980</v>
      </c>
      <c r="F16" s="29"/>
      <c r="G16" s="11" t="s">
        <v>43</v>
      </c>
      <c r="H16" s="11" t="s">
        <v>43</v>
      </c>
      <c r="I16" s="1" t="s">
        <v>44</v>
      </c>
      <c r="J16" s="1"/>
      <c r="K16" s="28">
        <v>8013148</v>
      </c>
      <c r="L16" s="28">
        <v>7171326</v>
      </c>
      <c r="M16" s="28"/>
      <c r="N16" s="28"/>
      <c r="O16" s="28">
        <v>94979</v>
      </c>
      <c r="P16" s="29"/>
      <c r="Q16" s="28">
        <v>462340</v>
      </c>
      <c r="R16" s="28">
        <v>137007</v>
      </c>
      <c r="S16" s="33">
        <f t="shared" si="1"/>
        <v>694326</v>
      </c>
      <c r="T16" s="28">
        <f>14575+47234</f>
        <v>61809</v>
      </c>
      <c r="U16" s="28">
        <v>1881677211</v>
      </c>
      <c r="V16" s="29"/>
      <c r="W16" s="34">
        <f t="shared" si="0"/>
        <v>1882433346</v>
      </c>
      <c r="X16" s="28">
        <v>94979</v>
      </c>
      <c r="Y16" s="28">
        <v>2564163</v>
      </c>
      <c r="Z16" s="28"/>
      <c r="AA16" s="28">
        <v>1881677211</v>
      </c>
      <c r="AB16" s="28"/>
      <c r="AC16" s="28"/>
      <c r="AD16" s="28">
        <v>1880921632</v>
      </c>
      <c r="AE16" s="28">
        <v>2564163</v>
      </c>
      <c r="AF16" s="29"/>
      <c r="AG16" s="28"/>
      <c r="AH16" s="28"/>
      <c r="AI16" s="28"/>
      <c r="AJ16" s="28"/>
      <c r="AK16" s="29">
        <f>IFERROR(SUM(AE16:AI16)-Y16,SUM(AE16:AI16))</f>
        <v>0</v>
      </c>
      <c r="AL16">
        <v>23.01</v>
      </c>
      <c r="AM16" s="16" t="s">
        <v>148</v>
      </c>
    </row>
    <row r="17" spans="1:39" x14ac:dyDescent="0.3">
      <c r="A17" s="7" t="s">
        <v>81</v>
      </c>
      <c r="B17" s="1" t="s">
        <v>81</v>
      </c>
      <c r="C17" s="2">
        <v>3</v>
      </c>
      <c r="D17" s="11" t="s">
        <v>71</v>
      </c>
      <c r="E17" s="28">
        <v>409.2</v>
      </c>
      <c r="F17" s="29">
        <v>200</v>
      </c>
      <c r="G17" s="11" t="s">
        <v>42</v>
      </c>
      <c r="H17" s="11" t="s">
        <v>42</v>
      </c>
      <c r="I17" s="1" t="s">
        <v>50</v>
      </c>
      <c r="J17" s="1" t="s">
        <v>51</v>
      </c>
      <c r="K17" s="28">
        <v>2173085</v>
      </c>
      <c r="L17" s="28">
        <v>2146732</v>
      </c>
      <c r="M17" s="28">
        <v>55473</v>
      </c>
      <c r="N17" s="28"/>
      <c r="O17" s="28">
        <f>80069+1441</f>
        <v>81510</v>
      </c>
      <c r="P17" s="29"/>
      <c r="Q17" s="28"/>
      <c r="R17" s="29"/>
      <c r="S17" s="33">
        <f t="shared" si="1"/>
        <v>81510</v>
      </c>
      <c r="T17" s="28"/>
      <c r="U17" s="29"/>
      <c r="V17" s="29"/>
      <c r="W17" s="34">
        <f t="shared" si="0"/>
        <v>81510</v>
      </c>
      <c r="X17" s="28">
        <v>1441</v>
      </c>
      <c r="Y17" s="28">
        <v>0</v>
      </c>
      <c r="Z17" s="28" t="s">
        <v>57</v>
      </c>
      <c r="AA17" s="28">
        <v>0</v>
      </c>
      <c r="AB17" s="28"/>
      <c r="AC17" s="28"/>
      <c r="AD17" s="28"/>
      <c r="AE17" s="28"/>
      <c r="AF17" s="29"/>
      <c r="AG17" s="28"/>
      <c r="AH17" s="28"/>
      <c r="AI17" s="28">
        <v>33270</v>
      </c>
      <c r="AJ17" s="28"/>
      <c r="AK17" s="29">
        <f t="shared" si="2"/>
        <v>33270</v>
      </c>
      <c r="AL17" s="98">
        <v>17</v>
      </c>
      <c r="AM17" s="16" t="s">
        <v>42</v>
      </c>
    </row>
    <row r="18" spans="1:39" x14ac:dyDescent="0.3">
      <c r="A18" s="7" t="s">
        <v>82</v>
      </c>
      <c r="B18" s="1" t="s">
        <v>82</v>
      </c>
      <c r="C18" s="2">
        <v>3</v>
      </c>
      <c r="D18" s="11" t="s">
        <v>71</v>
      </c>
      <c r="E18" s="28">
        <f>280+130</f>
        <v>410</v>
      </c>
      <c r="F18" s="29"/>
      <c r="G18" s="11" t="s">
        <v>42</v>
      </c>
      <c r="H18" s="11" t="s">
        <v>43</v>
      </c>
      <c r="I18" s="1" t="s">
        <v>50</v>
      </c>
      <c r="J18" s="1" t="s">
        <v>51</v>
      </c>
      <c r="K18" s="28">
        <v>2639786</v>
      </c>
      <c r="L18" s="28">
        <v>2593427</v>
      </c>
      <c r="M18" s="28"/>
      <c r="N18" s="28"/>
      <c r="O18" s="28"/>
      <c r="P18" s="29"/>
      <c r="Q18" s="28"/>
      <c r="R18" s="28">
        <v>83540</v>
      </c>
      <c r="S18" s="33">
        <f t="shared" si="1"/>
        <v>83540</v>
      </c>
      <c r="T18" s="28"/>
      <c r="U18" s="28"/>
      <c r="V18" s="29"/>
      <c r="W18" s="34">
        <f t="shared" si="0"/>
        <v>83540</v>
      </c>
      <c r="X18" s="28">
        <v>643</v>
      </c>
      <c r="Y18" s="28"/>
      <c r="Z18" s="28"/>
      <c r="AA18" s="28"/>
      <c r="AB18" s="28"/>
      <c r="AC18" s="28"/>
      <c r="AD18" s="28"/>
      <c r="AE18" s="28"/>
      <c r="AF18" s="29"/>
      <c r="AG18" s="28"/>
      <c r="AH18" s="28"/>
      <c r="AI18" s="28">
        <v>57222</v>
      </c>
      <c r="AJ18" s="28"/>
      <c r="AK18" s="29">
        <f t="shared" si="2"/>
        <v>57222</v>
      </c>
      <c r="AL18" s="98" t="s">
        <v>150</v>
      </c>
      <c r="AM18" s="16" t="s">
        <v>150</v>
      </c>
    </row>
    <row r="19" spans="1:39" x14ac:dyDescent="0.3">
      <c r="A19" s="8" t="s">
        <v>83</v>
      </c>
      <c r="B19" s="1" t="s">
        <v>83</v>
      </c>
      <c r="C19" s="12">
        <v>3</v>
      </c>
      <c r="D19" s="11" t="s">
        <v>71</v>
      </c>
      <c r="E19" s="28">
        <v>800</v>
      </c>
      <c r="F19" s="29">
        <v>500</v>
      </c>
      <c r="G19" s="11" t="s">
        <v>42</v>
      </c>
      <c r="H19" s="11" t="s">
        <v>42</v>
      </c>
      <c r="I19" s="1" t="s">
        <v>66</v>
      </c>
      <c r="J19" s="1"/>
      <c r="K19" s="32">
        <v>2734000</v>
      </c>
      <c r="L19" s="29">
        <v>2672000</v>
      </c>
      <c r="M19" s="32">
        <v>1510000</v>
      </c>
      <c r="N19" s="28"/>
      <c r="O19" s="28">
        <v>45981</v>
      </c>
      <c r="P19" s="28"/>
      <c r="Q19" s="28">
        <f>0+213372000</f>
        <v>213372000</v>
      </c>
      <c r="R19" s="32">
        <v>952774</v>
      </c>
      <c r="S19" s="33">
        <f t="shared" si="1"/>
        <v>214370755</v>
      </c>
      <c r="T19" s="29"/>
      <c r="U19" s="29"/>
      <c r="V19" s="29"/>
      <c r="W19" s="34">
        <f t="shared" si="0"/>
        <v>214370755</v>
      </c>
      <c r="X19" s="32">
        <v>45981</v>
      </c>
      <c r="Y19" s="28" t="s">
        <v>57</v>
      </c>
      <c r="Z19" s="28" t="s">
        <v>57</v>
      </c>
      <c r="AA19" s="28">
        <v>213372000</v>
      </c>
      <c r="AB19" s="28">
        <v>213372000</v>
      </c>
      <c r="AC19" s="28">
        <v>213372000</v>
      </c>
      <c r="AD19" s="28"/>
      <c r="AE19" s="28"/>
      <c r="AF19" s="29"/>
      <c r="AG19" s="28"/>
      <c r="AH19" s="46"/>
      <c r="AI19" s="29"/>
      <c r="AJ19" s="46">
        <v>3770581</v>
      </c>
      <c r="AK19" s="29">
        <f t="shared" si="2"/>
        <v>0</v>
      </c>
      <c r="AL19" s="98">
        <v>19.3</v>
      </c>
      <c r="AM19" s="16" t="s">
        <v>42</v>
      </c>
    </row>
    <row r="20" spans="1:39" x14ac:dyDescent="0.3">
      <c r="A20" s="9" t="s">
        <v>84</v>
      </c>
      <c r="B20" s="19" t="s">
        <v>84</v>
      </c>
      <c r="C20" s="12">
        <v>2</v>
      </c>
      <c r="D20" s="11" t="s">
        <v>71</v>
      </c>
      <c r="E20" s="28">
        <v>70</v>
      </c>
      <c r="F20" s="31">
        <v>52</v>
      </c>
      <c r="G20" s="11" t="s">
        <v>42</v>
      </c>
      <c r="H20" s="11" t="s">
        <v>42</v>
      </c>
      <c r="I20" s="1" t="s">
        <v>50</v>
      </c>
      <c r="J20" s="1" t="s">
        <v>51</v>
      </c>
      <c r="K20" s="36">
        <v>195000</v>
      </c>
      <c r="L20" s="29">
        <v>185000</v>
      </c>
      <c r="M20" s="32">
        <v>366000</v>
      </c>
      <c r="N20" s="36"/>
      <c r="O20" s="28">
        <v>3284</v>
      </c>
      <c r="P20" s="36"/>
      <c r="Q20" s="28"/>
      <c r="R20" s="32">
        <v>59601</v>
      </c>
      <c r="S20" s="33">
        <f t="shared" si="1"/>
        <v>62885</v>
      </c>
      <c r="T20" s="31"/>
      <c r="U20" s="31"/>
      <c r="V20" s="32">
        <v>29732</v>
      </c>
      <c r="W20" s="34">
        <f t="shared" si="0"/>
        <v>92617</v>
      </c>
      <c r="X20" s="32">
        <v>3284</v>
      </c>
      <c r="Y20" s="28">
        <v>6085</v>
      </c>
      <c r="Z20" s="28" t="s">
        <v>57</v>
      </c>
      <c r="AA20" s="28">
        <v>0</v>
      </c>
      <c r="AB20" s="28"/>
      <c r="AC20" s="28"/>
      <c r="AD20" s="28"/>
      <c r="AE20" s="28">
        <v>6085</v>
      </c>
      <c r="AF20" s="31"/>
      <c r="AG20" s="36"/>
      <c r="AH20" s="36"/>
      <c r="AI20" s="32">
        <v>33150</v>
      </c>
      <c r="AJ20" s="36"/>
      <c r="AK20" s="29">
        <f t="shared" si="2"/>
        <v>33150</v>
      </c>
      <c r="AL20" s="98" t="s">
        <v>150</v>
      </c>
      <c r="AM20" s="16" t="s">
        <v>150</v>
      </c>
    </row>
    <row r="21" spans="1:39" x14ac:dyDescent="0.3">
      <c r="A21" s="9" t="s">
        <v>85</v>
      </c>
      <c r="B21" s="19" t="s">
        <v>85</v>
      </c>
      <c r="C21" s="2">
        <v>3</v>
      </c>
      <c r="D21" s="11" t="s">
        <v>71</v>
      </c>
      <c r="E21" s="28">
        <v>390</v>
      </c>
      <c r="F21" s="35">
        <v>220</v>
      </c>
      <c r="G21" s="11" t="s">
        <v>42</v>
      </c>
      <c r="H21" s="11" t="s">
        <v>42</v>
      </c>
      <c r="I21" s="2" t="s">
        <v>50</v>
      </c>
      <c r="J21" s="1" t="s">
        <v>51</v>
      </c>
      <c r="K21" s="47">
        <v>2004000</v>
      </c>
      <c r="L21" s="29">
        <v>1923000</v>
      </c>
      <c r="M21" s="47">
        <v>742000</v>
      </c>
      <c r="N21" s="35"/>
      <c r="O21" s="28">
        <v>1192</v>
      </c>
      <c r="P21" s="35"/>
      <c r="Q21" s="28"/>
      <c r="R21" s="47">
        <v>464814</v>
      </c>
      <c r="S21" s="33">
        <f t="shared" si="1"/>
        <v>466006</v>
      </c>
      <c r="T21" s="35"/>
      <c r="U21" s="35"/>
      <c r="V21" s="47">
        <v>106919</v>
      </c>
      <c r="W21" s="34">
        <f t="shared" si="0"/>
        <v>572925</v>
      </c>
      <c r="X21" s="47">
        <v>1192</v>
      </c>
      <c r="Y21" s="28">
        <v>5325</v>
      </c>
      <c r="Z21" s="28" t="s">
        <v>57</v>
      </c>
      <c r="AA21" s="28">
        <v>0</v>
      </c>
      <c r="AB21" s="28"/>
      <c r="AC21" s="28"/>
      <c r="AD21" s="28"/>
      <c r="AE21" s="28">
        <v>5325</v>
      </c>
      <c r="AF21" s="35"/>
      <c r="AG21" s="35"/>
      <c r="AH21" s="35"/>
      <c r="AI21" s="47">
        <v>239517</v>
      </c>
      <c r="AJ21" s="35"/>
      <c r="AK21" s="29">
        <f t="shared" si="2"/>
        <v>239517</v>
      </c>
      <c r="AL21" s="98" t="s">
        <v>150</v>
      </c>
      <c r="AM21" s="16" t="s">
        <v>150</v>
      </c>
    </row>
    <row r="22" spans="1:39" x14ac:dyDescent="0.3">
      <c r="A22" s="8" t="s">
        <v>86</v>
      </c>
      <c r="B22" s="1" t="s">
        <v>86</v>
      </c>
      <c r="C22" s="2">
        <v>3</v>
      </c>
      <c r="D22" s="11" t="s">
        <v>71</v>
      </c>
      <c r="E22" s="28">
        <f>855+433</f>
        <v>1288</v>
      </c>
      <c r="F22" s="29">
        <v>0</v>
      </c>
      <c r="G22" s="11" t="s">
        <v>42</v>
      </c>
      <c r="H22" s="11" t="s">
        <v>43</v>
      </c>
      <c r="I22" s="1" t="s">
        <v>44</v>
      </c>
      <c r="J22" s="1" t="s">
        <v>45</v>
      </c>
      <c r="K22" s="32">
        <v>943000</v>
      </c>
      <c r="L22" s="29">
        <v>905000</v>
      </c>
      <c r="M22" s="28"/>
      <c r="N22" s="40"/>
      <c r="O22" s="28">
        <v>20169</v>
      </c>
      <c r="P22" s="28"/>
      <c r="Q22" s="28">
        <f>67455+113578000</f>
        <v>113645455</v>
      </c>
      <c r="R22" s="30">
        <v>3943</v>
      </c>
      <c r="S22" s="33">
        <f t="shared" si="1"/>
        <v>113669567</v>
      </c>
      <c r="T22" s="41"/>
      <c r="U22" s="39"/>
      <c r="V22" s="41"/>
      <c r="W22" s="34">
        <f t="shared" si="0"/>
        <v>113669567</v>
      </c>
      <c r="X22" s="32">
        <v>20169</v>
      </c>
      <c r="Y22" s="28" t="s">
        <v>57</v>
      </c>
      <c r="Z22" s="28" t="s">
        <v>57</v>
      </c>
      <c r="AA22" s="28">
        <v>113578000</v>
      </c>
      <c r="AB22" s="28">
        <v>113578000</v>
      </c>
      <c r="AC22" s="28">
        <f>10084880+113578000</f>
        <v>123662880</v>
      </c>
      <c r="AD22" s="28"/>
      <c r="AE22" s="28"/>
      <c r="AF22" s="28"/>
      <c r="AG22" s="29"/>
      <c r="AH22" s="29"/>
      <c r="AI22" s="29"/>
      <c r="AJ22" s="29"/>
      <c r="AK22" s="29">
        <f t="shared" si="2"/>
        <v>0</v>
      </c>
      <c r="AL22" s="98" t="s">
        <v>150</v>
      </c>
      <c r="AM22" s="16" t="s">
        <v>42</v>
      </c>
    </row>
    <row r="23" spans="1:39" x14ac:dyDescent="0.3">
      <c r="A23" s="10" t="s">
        <v>87</v>
      </c>
      <c r="B23" s="1" t="s">
        <v>87</v>
      </c>
      <c r="C23" s="2">
        <v>2</v>
      </c>
      <c r="D23" s="11" t="s">
        <v>71</v>
      </c>
      <c r="E23" s="28">
        <v>800</v>
      </c>
      <c r="F23" s="29">
        <v>0</v>
      </c>
      <c r="G23" s="11" t="s">
        <v>42</v>
      </c>
      <c r="H23" s="11" t="s">
        <v>43</v>
      </c>
      <c r="I23" s="1" t="s">
        <v>50</v>
      </c>
      <c r="J23" s="1" t="s">
        <v>51</v>
      </c>
      <c r="K23" s="31">
        <v>1426852</v>
      </c>
      <c r="L23" s="31">
        <v>1402608</v>
      </c>
      <c r="M23" s="28"/>
      <c r="N23" s="43"/>
      <c r="O23" s="28">
        <v>1535</v>
      </c>
      <c r="P23" s="28"/>
      <c r="Q23" s="28"/>
      <c r="R23" s="31">
        <v>32869</v>
      </c>
      <c r="S23" s="33">
        <f t="shared" si="1"/>
        <v>34404</v>
      </c>
      <c r="T23" s="28">
        <v>13129</v>
      </c>
      <c r="U23" s="39"/>
      <c r="V23" s="43"/>
      <c r="W23" s="34">
        <f t="shared" si="0"/>
        <v>47533</v>
      </c>
      <c r="X23" s="43">
        <v>1535</v>
      </c>
      <c r="Y23" s="28">
        <v>0</v>
      </c>
      <c r="Z23" s="28" t="s">
        <v>57</v>
      </c>
      <c r="AA23" s="28">
        <v>0</v>
      </c>
      <c r="AB23" s="28"/>
      <c r="AC23" s="28"/>
      <c r="AD23" s="28"/>
      <c r="AE23" s="28"/>
      <c r="AF23" s="28"/>
      <c r="AG23" s="29"/>
      <c r="AH23" s="29"/>
      <c r="AI23" s="29"/>
      <c r="AJ23" s="29"/>
      <c r="AK23" s="29">
        <f t="shared" si="2"/>
        <v>0</v>
      </c>
      <c r="AL23" s="98" t="s">
        <v>150</v>
      </c>
      <c r="AM23" s="16" t="s">
        <v>151</v>
      </c>
    </row>
    <row r="24" spans="1:39" x14ac:dyDescent="0.3">
      <c r="A24" s="10" t="s">
        <v>88</v>
      </c>
      <c r="B24" s="1" t="s">
        <v>88</v>
      </c>
      <c r="C24" s="2">
        <v>3</v>
      </c>
      <c r="D24" s="11" t="s">
        <v>71</v>
      </c>
      <c r="E24" s="28">
        <v>801</v>
      </c>
      <c r="F24" s="31">
        <v>0</v>
      </c>
      <c r="G24" s="11" t="s">
        <v>42</v>
      </c>
      <c r="H24" s="11" t="s">
        <v>43</v>
      </c>
      <c r="I24" s="1" t="s">
        <v>66</v>
      </c>
      <c r="J24" s="1"/>
      <c r="K24" s="31">
        <v>2794364</v>
      </c>
      <c r="L24" s="31">
        <v>2746359</v>
      </c>
      <c r="M24" s="36"/>
      <c r="N24" s="32"/>
      <c r="O24" s="28">
        <v>4802</v>
      </c>
      <c r="P24" s="36"/>
      <c r="Q24" s="28"/>
      <c r="R24" s="31">
        <v>72730</v>
      </c>
      <c r="S24" s="33">
        <f t="shared" si="1"/>
        <v>77532</v>
      </c>
      <c r="T24" s="31">
        <v>2026</v>
      </c>
      <c r="U24" s="31"/>
      <c r="V24" s="32"/>
      <c r="W24" s="34">
        <f t="shared" si="0"/>
        <v>79558</v>
      </c>
      <c r="X24" s="32">
        <v>4802</v>
      </c>
      <c r="Y24" s="28">
        <v>2026</v>
      </c>
      <c r="Z24" s="28" t="s">
        <v>57</v>
      </c>
      <c r="AA24" s="28" t="s">
        <v>57</v>
      </c>
      <c r="AB24" s="28"/>
      <c r="AC24" s="28"/>
      <c r="AD24" s="28"/>
      <c r="AE24" s="28">
        <v>2026</v>
      </c>
      <c r="AF24" s="36"/>
      <c r="AG24" s="32"/>
      <c r="AH24" s="31"/>
      <c r="AI24" s="31"/>
      <c r="AJ24" s="31"/>
      <c r="AK24" s="29">
        <f t="shared" si="2"/>
        <v>0</v>
      </c>
      <c r="AL24" s="98" t="s">
        <v>150</v>
      </c>
      <c r="AM24" s="16" t="s">
        <v>150</v>
      </c>
    </row>
    <row r="25" spans="1:39" x14ac:dyDescent="0.3">
      <c r="A25" s="10" t="s">
        <v>89</v>
      </c>
      <c r="B25" s="1" t="s">
        <v>89</v>
      </c>
      <c r="C25" s="2">
        <v>2</v>
      </c>
      <c r="D25" s="11" t="s">
        <v>71</v>
      </c>
      <c r="E25" s="29">
        <v>810</v>
      </c>
      <c r="F25" s="29">
        <v>0</v>
      </c>
      <c r="G25" s="11" t="s">
        <v>42</v>
      </c>
      <c r="H25" s="11" t="s">
        <v>43</v>
      </c>
      <c r="I25" s="1" t="s">
        <v>66</v>
      </c>
      <c r="J25" s="1"/>
      <c r="K25" s="31">
        <v>1156374</v>
      </c>
      <c r="L25" s="31">
        <v>1126589</v>
      </c>
      <c r="M25" s="28"/>
      <c r="N25" s="32"/>
      <c r="O25" s="28">
        <v>1455</v>
      </c>
      <c r="P25" s="28"/>
      <c r="Q25" s="28"/>
      <c r="R25" s="31">
        <v>39231</v>
      </c>
      <c r="S25" s="33">
        <f t="shared" si="1"/>
        <v>40686</v>
      </c>
      <c r="T25" s="32"/>
      <c r="U25" s="39"/>
      <c r="V25" s="29"/>
      <c r="W25" s="34">
        <f t="shared" si="0"/>
        <v>40686</v>
      </c>
      <c r="X25" s="36">
        <v>1455</v>
      </c>
      <c r="Y25" s="28">
        <v>39231</v>
      </c>
      <c r="Z25" s="28" t="s">
        <v>57</v>
      </c>
      <c r="AA25" s="28">
        <v>0</v>
      </c>
      <c r="AB25" s="28"/>
      <c r="AC25" s="28"/>
      <c r="AD25" s="28"/>
      <c r="AE25" s="28">
        <v>39231</v>
      </c>
      <c r="AF25" s="28"/>
      <c r="AG25" s="29"/>
      <c r="AH25" s="29"/>
      <c r="AI25" s="29"/>
      <c r="AJ25" s="29"/>
      <c r="AK25" s="29">
        <f t="shared" si="2"/>
        <v>0</v>
      </c>
      <c r="AL25" s="98" t="s">
        <v>43</v>
      </c>
      <c r="AM25" s="16" t="s">
        <v>151</v>
      </c>
    </row>
    <row r="26" spans="1:39" x14ac:dyDescent="0.3">
      <c r="A26" s="10" t="s">
        <v>90</v>
      </c>
      <c r="B26" s="1" t="s">
        <v>90</v>
      </c>
      <c r="C26" s="2">
        <v>2</v>
      </c>
      <c r="D26" s="11" t="s">
        <v>71</v>
      </c>
      <c r="E26" s="29">
        <v>770</v>
      </c>
      <c r="F26" s="29">
        <v>0</v>
      </c>
      <c r="G26" s="11" t="s">
        <v>42</v>
      </c>
      <c r="H26" s="11" t="s">
        <v>43</v>
      </c>
      <c r="I26" s="1" t="s">
        <v>65</v>
      </c>
      <c r="J26" s="1" t="s">
        <v>64</v>
      </c>
      <c r="K26" s="31">
        <v>1081077</v>
      </c>
      <c r="L26" s="31">
        <v>1047460</v>
      </c>
      <c r="M26" s="28"/>
      <c r="N26" s="32"/>
      <c r="O26" s="28">
        <v>550</v>
      </c>
      <c r="P26" s="28"/>
      <c r="Q26" s="28">
        <v>1240507</v>
      </c>
      <c r="R26" s="32"/>
      <c r="S26" s="33">
        <f t="shared" si="1"/>
        <v>1241057</v>
      </c>
      <c r="T26" s="32"/>
      <c r="U26" s="39"/>
      <c r="W26" s="34">
        <f t="shared" si="0"/>
        <v>1241057</v>
      </c>
      <c r="X26" s="28">
        <v>550</v>
      </c>
      <c r="Y26" s="28" t="s">
        <v>57</v>
      </c>
      <c r="Z26" s="32" t="s">
        <v>57</v>
      </c>
      <c r="AA26" s="32" t="s">
        <v>57</v>
      </c>
      <c r="AB26" s="32"/>
      <c r="AC26" s="28"/>
      <c r="AD26" s="28"/>
      <c r="AE26" s="42"/>
      <c r="AF26" s="28"/>
      <c r="AG26" s="32"/>
      <c r="AH26" s="29"/>
      <c r="AI26" s="31">
        <v>321356</v>
      </c>
      <c r="AJ26" s="29"/>
      <c r="AK26" s="29">
        <f t="shared" si="2"/>
        <v>321356</v>
      </c>
      <c r="AL26">
        <v>20.149999999999999</v>
      </c>
      <c r="AM26" s="16" t="s">
        <v>42</v>
      </c>
    </row>
    <row r="27" spans="1:39" x14ac:dyDescent="0.3">
      <c r="A27" s="239" t="s">
        <v>226</v>
      </c>
      <c r="C27" s="2"/>
      <c r="E27" s="29"/>
      <c r="F27" s="29"/>
      <c r="G27" s="11"/>
      <c r="H27" s="11"/>
      <c r="I27" s="1"/>
      <c r="J27" s="1"/>
      <c r="K27" s="31"/>
      <c r="L27" s="31"/>
      <c r="M27" s="28"/>
      <c r="N27" s="32"/>
      <c r="O27" s="28"/>
      <c r="P27" s="28"/>
      <c r="Q27" s="28"/>
      <c r="R27" s="32"/>
      <c r="S27" s="33"/>
      <c r="T27" s="32"/>
      <c r="U27" s="39"/>
      <c r="W27" s="34"/>
      <c r="X27" s="28"/>
      <c r="Y27" s="28"/>
      <c r="Z27" s="32"/>
      <c r="AA27" s="32"/>
      <c r="AB27" s="32"/>
      <c r="AC27" s="28"/>
      <c r="AD27" s="28"/>
      <c r="AE27" s="42"/>
      <c r="AF27" s="28"/>
      <c r="AG27" s="32"/>
      <c r="AH27" s="29"/>
      <c r="AI27" s="31"/>
      <c r="AJ27" s="29"/>
      <c r="AK27" s="29"/>
    </row>
  </sheetData>
  <autoFilter ref="A1:AM26" xr:uid="{100269B6-A639-4232-B99D-7C942069AE51}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7DDDF-F49F-439E-A3A5-1DEA3DD2D78A}">
  <dimension ref="A1:O58"/>
  <sheetViews>
    <sheetView topLeftCell="A31" zoomScale="55" zoomScaleNormal="55" workbookViewId="0">
      <pane xSplit="1" topLeftCell="B1" activePane="topRight" state="frozen"/>
      <selection pane="topRight" activeCell="C29" sqref="C29"/>
    </sheetView>
  </sheetViews>
  <sheetFormatPr defaultRowHeight="15.05" x14ac:dyDescent="0.3"/>
  <cols>
    <col min="1" max="1" width="32.44140625" bestFit="1" customWidth="1"/>
    <col min="2" max="2" width="17" customWidth="1"/>
    <col min="3" max="3" width="24.44140625" customWidth="1"/>
    <col min="4" max="8" width="18.88671875" customWidth="1"/>
    <col min="9" max="9" width="22.109375" customWidth="1"/>
    <col min="10" max="10" width="14.5546875" customWidth="1"/>
    <col min="11" max="11" width="16.44140625" customWidth="1"/>
    <col min="12" max="12" width="13.44140625" customWidth="1"/>
    <col min="13" max="13" width="18.33203125" customWidth="1"/>
    <col min="14" max="14" width="27.5546875" customWidth="1"/>
    <col min="15" max="15" width="31.44140625" customWidth="1"/>
  </cols>
  <sheetData>
    <row r="1" spans="1:15" x14ac:dyDescent="0.3">
      <c r="B1" s="94" t="s">
        <v>208</v>
      </c>
      <c r="C1" s="223" t="s">
        <v>209</v>
      </c>
      <c r="D1" s="223"/>
      <c r="E1" s="223"/>
      <c r="F1" s="223"/>
      <c r="G1" s="223"/>
      <c r="H1" s="223"/>
      <c r="I1" s="223"/>
      <c r="J1" s="168" t="s">
        <v>210</v>
      </c>
      <c r="K1" s="94" t="s">
        <v>211</v>
      </c>
      <c r="L1" s="94" t="s">
        <v>212</v>
      </c>
      <c r="M1" s="94" t="s">
        <v>213</v>
      </c>
      <c r="N1" s="94" t="s">
        <v>214</v>
      </c>
    </row>
    <row r="2" spans="1:15" s="20" customFormat="1" ht="70.75" customHeight="1" x14ac:dyDescent="0.3">
      <c r="B2" s="170" t="s">
        <v>207</v>
      </c>
      <c r="C2" s="220" t="s">
        <v>193</v>
      </c>
      <c r="D2" s="221"/>
      <c r="E2" s="221"/>
      <c r="F2" s="221"/>
      <c r="G2" s="221"/>
      <c r="H2" s="222"/>
      <c r="I2" s="171" t="s">
        <v>194</v>
      </c>
      <c r="J2" s="172" t="s">
        <v>199</v>
      </c>
      <c r="K2" s="172" t="s">
        <v>200</v>
      </c>
      <c r="L2" s="174" t="s">
        <v>201</v>
      </c>
      <c r="M2" s="174" t="s">
        <v>216</v>
      </c>
      <c r="N2" s="173" t="s">
        <v>203</v>
      </c>
    </row>
    <row r="3" spans="1:15" ht="65.3" customHeight="1" x14ac:dyDescent="0.3">
      <c r="A3" t="s">
        <v>152</v>
      </c>
      <c r="B3" s="53" t="s">
        <v>219</v>
      </c>
      <c r="C3" s="57"/>
      <c r="D3" s="188" t="s">
        <v>195</v>
      </c>
      <c r="E3" s="188" t="s">
        <v>196</v>
      </c>
      <c r="F3" s="188" t="s">
        <v>197</v>
      </c>
      <c r="G3" s="188" t="s">
        <v>13</v>
      </c>
      <c r="H3" s="189" t="s">
        <v>198</v>
      </c>
      <c r="I3" s="48" t="s">
        <v>205</v>
      </c>
      <c r="J3" s="57" t="s">
        <v>141</v>
      </c>
      <c r="K3" s="25" t="s">
        <v>142</v>
      </c>
      <c r="L3" s="169" t="s">
        <v>142</v>
      </c>
      <c r="M3" s="48" t="s">
        <v>143</v>
      </c>
      <c r="N3" s="26" t="s">
        <v>215</v>
      </c>
      <c r="O3" t="s">
        <v>152</v>
      </c>
    </row>
    <row r="4" spans="1:15" x14ac:dyDescent="0.3">
      <c r="A4" s="3" t="str">
        <f>'2022_DATI'!A3</f>
        <v>Cassano</v>
      </c>
      <c r="B4" s="74">
        <f>'2022_DATI'!S3/'2022_DATI'!E3</f>
        <v>263964.15448113205</v>
      </c>
      <c r="C4" s="190" cm="1">
        <f t="array" ref="C4">_xlfn.IFS(I4&lt;1,SUM(D4:H4*'FUNZIONI UTILITA'!$G$9:$K$9),
AND(I4&gt;=1,I4&lt;2),SUM(D4:H4*'FUNZIONI UTILITA'!$G$10:$K10),
AND(I4&gt;=2,I4&lt;3),SUM(D4:H4*'FUNZIONI UTILITA'!$G$11:$K$11),
I4&gt;=3,SUM(D4:H4*'FUNZIONI UTILITA'!$G$12:$K$12))</f>
        <v>-12.835695503587226</v>
      </c>
      <c r="D4" s="75">
        <f>IFERROR(('2022_DATI'!V3+'2022_DATI'!Y3)/'2022_DATI'!W3,0)</f>
        <v>0</v>
      </c>
      <c r="E4" s="76">
        <f>IFERROR('2022_DATI'!T3/'2022_DATI'!W3,0)</f>
        <v>0</v>
      </c>
      <c r="F4" s="76">
        <f>'2022_DATI'!U3/'2022_DATI'!W3</f>
        <v>0</v>
      </c>
      <c r="G4" s="76">
        <f>'2022_DATI'!R3/'2022_DATI'!W3</f>
        <v>2.1351258818495863E-3</v>
      </c>
      <c r="H4" s="77">
        <f>SUM('2022_DATI'!P3:Q3)/'2022_DATI'!W3</f>
        <v>0.99785740008304002</v>
      </c>
      <c r="I4" s="191">
        <f>'2022_DATI'!C3</f>
        <v>3</v>
      </c>
      <c r="J4" s="59">
        <f>('2022_DATI'!S3-'2022_DATI'!AB3+'2022_DATI'!AD3)/('2022_DATI'!L3+0.2671*'2022_DATI'!M3)</f>
        <v>0.19652907886872406</v>
      </c>
      <c r="K4" s="55">
        <f>IFERROR('2022_DATI'!Y3/'2022_DATI'!AE3,0)</f>
        <v>0</v>
      </c>
      <c r="L4" s="71">
        <f>IFERROR('2022_DATI'!AK3/('2022_DATI'!S3-'2022_DATI'!AC3),0)</f>
        <v>0.44849177340425311</v>
      </c>
      <c r="M4" s="192">
        <f>IFERROR(35-'2022_DATI'!AL3,0)</f>
        <v>13.829999999999998</v>
      </c>
      <c r="N4" s="193" t="s">
        <v>149</v>
      </c>
      <c r="O4" s="3" t="str">
        <f>'2022_DATI'!A3</f>
        <v>Cassano</v>
      </c>
    </row>
    <row r="5" spans="1:15" x14ac:dyDescent="0.3">
      <c r="A5" s="3" t="str">
        <f>'2022_DATI'!A4</f>
        <v>Chivasso</v>
      </c>
      <c r="B5" s="74">
        <f>'2022_DATI'!S4/'2022_DATI'!E4</f>
        <v>206808.32578819725</v>
      </c>
      <c r="C5" s="190" cm="1">
        <f t="array" ref="C5">_xlfn.IFS(I5&lt;1,SUM(D5:H5*'FUNZIONI UTILITA'!$G$9:$K$9),
AND(I5&gt;=1,I5&lt;2),SUM(D5:H5*'FUNZIONI UTILITA'!$G$10:$K11),
AND(I5&gt;=2,I5&lt;3),SUM(D5:H5*'FUNZIONI UTILITA'!$G$11:$K$11),
I5&gt;=3,SUM(D5:H5*'FUNZIONI UTILITA'!$G$12:$K$12))</f>
        <v>-12.786567568802454</v>
      </c>
      <c r="D5" s="75">
        <f>IFERROR(('2022_DATI'!V4+'2022_DATI'!Y4)/'2022_DATI'!W4,0)</f>
        <v>3.9950450059007651E-4</v>
      </c>
      <c r="E5" s="76">
        <f>IFERROR('2022_DATI'!T4/'2022_DATI'!W4,0)</f>
        <v>0</v>
      </c>
      <c r="F5" s="76">
        <f>'2022_DATI'!U4/'2022_DATI'!W4</f>
        <v>0</v>
      </c>
      <c r="G5" s="76">
        <f>'2022_DATI'!R4/'2022_DATI'!W4</f>
        <v>1.2880015404779714E-3</v>
      </c>
      <c r="H5" s="77">
        <f>SUM('2022_DATI'!P4:Q4)/'2022_DATI'!W4</f>
        <v>0.9986635272377522</v>
      </c>
      <c r="I5" s="194">
        <f>'2022_DATI'!C4</f>
        <v>3</v>
      </c>
      <c r="J5" s="60">
        <f>('2022_DATI'!S4-'2022_DATI'!AB4+'2022_DATI'!AD4)/('2022_DATI'!L4+0.2671*'2022_DATI'!M4)</f>
        <v>0.11533602552715194</v>
      </c>
      <c r="K5" s="52">
        <f>IFERROR('2022_DATI'!Y4/'2022_DATI'!AE4,0)</f>
        <v>0.48717728711436525</v>
      </c>
      <c r="L5" s="72">
        <f>IFERROR('2022_DATI'!AK4/('2022_DATI'!S4-'2022_DATI'!AC4),0)</f>
        <v>0.31466017742081726</v>
      </c>
      <c r="M5" s="192">
        <f>IFERROR(35-'2022_DATI'!AL4,0)</f>
        <v>15.370000000000001</v>
      </c>
      <c r="N5" s="195" t="s">
        <v>149</v>
      </c>
      <c r="O5" s="3" t="str">
        <f>'2022_DATI'!A4</f>
        <v>Chivasso</v>
      </c>
    </row>
    <row r="6" spans="1:15" x14ac:dyDescent="0.3">
      <c r="A6" s="3" t="str">
        <f>'2022_DATI'!A5</f>
        <v>Gissi</v>
      </c>
      <c r="B6" s="74">
        <f>'2022_DATI'!S5/'2022_DATI'!E5</f>
        <v>12.082142857142857</v>
      </c>
      <c r="C6" s="190" cm="1">
        <f t="array" ref="C6">_xlfn.IFS(I6&lt;1,SUM(D6:H6*'FUNZIONI UTILITA'!$G$9:$K$9),
AND(I6&gt;=1,I6&lt;2),SUM(D6:H6*'FUNZIONI UTILITA'!$G$10:$K12),
AND(I6&gt;=2,I6&lt;3),SUM(D6:H6*'FUNZIONI UTILITA'!$G$11:$K$11),
I6&gt;=3,SUM(D6:H6*'FUNZIONI UTILITA'!$G$12:$K$12))</f>
        <v>90.329360100376419</v>
      </c>
      <c r="D6" s="75">
        <f>IFERROR(('2022_DATI'!V5+'2022_DATI'!Y5)/'2022_DATI'!W5,0)</f>
        <v>0.45551024675867835</v>
      </c>
      <c r="E6" s="76">
        <f>IFERROR('2022_DATI'!T5/'2022_DATI'!W5,0)</f>
        <v>0.27919803429527396</v>
      </c>
      <c r="F6" s="76">
        <f>'2022_DATI'!U5/'2022_DATI'!W5</f>
        <v>0</v>
      </c>
      <c r="G6" s="76">
        <f>'2022_DATI'!R5/'2022_DATI'!W5</f>
        <v>0.22859159347553326</v>
      </c>
      <c r="H6" s="77">
        <f>SUM('2022_DATI'!P5:Q5)/'2022_DATI'!W5</f>
        <v>0</v>
      </c>
      <c r="I6" s="194">
        <f>'2022_DATI'!C5</f>
        <v>2</v>
      </c>
      <c r="J6" s="60">
        <f>('2022_DATI'!S5-'2022_DATI'!AB5+'2022_DATI'!AD5)/('2022_DATI'!L5+0.2671*'2022_DATI'!M5)</f>
        <v>5.2276788312745921E-3</v>
      </c>
      <c r="K6" s="52">
        <f>IFERROR('2022_DATI'!Y5/'2022_DATI'!AE5,0)</f>
        <v>0</v>
      </c>
      <c r="L6" s="72">
        <f>IFERROR('2022_DATI'!AK5/('2022_DATI'!S5-'2022_DATI'!AC5),0)</f>
        <v>0</v>
      </c>
      <c r="M6" s="192">
        <f>IFERROR(35-'2022_DATI'!AL5,0)</f>
        <v>12.5</v>
      </c>
      <c r="N6" s="195" t="s">
        <v>149</v>
      </c>
      <c r="O6" s="3" t="str">
        <f>'2022_DATI'!A5</f>
        <v>Gissi</v>
      </c>
    </row>
    <row r="7" spans="1:15" x14ac:dyDescent="0.3">
      <c r="A7" s="3" t="str">
        <f>'2022_DATI'!A6</f>
        <v>Mincio</v>
      </c>
      <c r="B7" s="74">
        <f>'2022_DATI'!S6/'2022_DATI'!E6</f>
        <v>191511.17894736843</v>
      </c>
      <c r="C7" s="190" cm="1">
        <f t="array" ref="C7">_xlfn.IFS(I7&lt;1,SUM(D7:H7*'FUNZIONI UTILITA'!$G$9:$K$9),
AND(I7&gt;=1,I7&lt;2),SUM(D7:H7*'FUNZIONI UTILITA'!$G$10:$K13),
AND(I7&gt;=2,I7&lt;3),SUM(D7:H7*'FUNZIONI UTILITA'!$G$11:$K$11),
I7&gt;=3,SUM(D7:H7*'FUNZIONI UTILITA'!$G$12:$K$12))</f>
        <v>-12.856960885394514</v>
      </c>
      <c r="D7" s="75">
        <f>IFERROR(('2022_DATI'!V6+'2022_DATI'!Y6)/'2022_DATI'!W6,0)</f>
        <v>0</v>
      </c>
      <c r="E7" s="76">
        <f>IFERROR('2022_DATI'!T6/'2022_DATI'!W6,0)</f>
        <v>0</v>
      </c>
      <c r="F7" s="76">
        <f>'2022_DATI'!U6/'2022_DATI'!W6</f>
        <v>0</v>
      </c>
      <c r="G7" s="76">
        <f>'2022_DATI'!R6/'2022_DATI'!W6</f>
        <v>0</v>
      </c>
      <c r="H7" s="77">
        <f>SUM('2022_DATI'!P6:Q6)/'2022_DATI'!W6</f>
        <v>0.99998584664179557</v>
      </c>
      <c r="I7" s="194">
        <f>'2022_DATI'!C6</f>
        <v>3</v>
      </c>
      <c r="J7" s="60">
        <f>('2022_DATI'!S6-'2022_DATI'!AB6+'2022_DATI'!AD6)/('2022_DATI'!L6+0.2671*'2022_DATI'!M6)</f>
        <v>1.1164040949268646E-3</v>
      </c>
      <c r="K7" s="52">
        <f>IFERROR('2022_DATI'!Y6/'2022_DATI'!AE6,0)</f>
        <v>0</v>
      </c>
      <c r="L7" s="72">
        <f>IFERROR('2022_DATI'!AK6/('2022_DATI'!S6-'2022_DATI'!AC6),0)</f>
        <v>0</v>
      </c>
      <c r="M7" s="192">
        <f>IFERROR(35-'2022_DATI'!AL6,0)</f>
        <v>15.670000000000002</v>
      </c>
      <c r="N7" s="195" t="s">
        <v>149</v>
      </c>
      <c r="O7" s="3" t="str">
        <f>'2022_DATI'!A6</f>
        <v>Mincio</v>
      </c>
    </row>
    <row r="8" spans="1:15" x14ac:dyDescent="0.3">
      <c r="A8" s="3" t="str">
        <f>'2022_DATI'!A7</f>
        <v>Monfalcone</v>
      </c>
      <c r="B8" s="74">
        <f>'2022_DATI'!S7/'2022_DATI'!E7</f>
        <v>1870.8333333333333</v>
      </c>
      <c r="C8" s="190" cm="1">
        <f t="array" ref="C8">_xlfn.IFS(I8&lt;1,SUM(D8:H8*'FUNZIONI UTILITA'!$G$9:$K$9),
AND(I8&gt;=1,I8&lt;2),SUM(D8:H8*'FUNZIONI UTILITA'!$G$10:$K14),
AND(I8&gt;=2,I8&lt;3),SUM(D8:H8*'FUNZIONI UTILITA'!$G$11:$K$11),
I8&gt;=3,SUM(D8:H8*'FUNZIONI UTILITA'!$G$12:$K$12))</f>
        <v>95.872391515942368</v>
      </c>
      <c r="D8" s="75">
        <f>IFERROR(('2022_DATI'!V7+'2022_DATI'!Y7)/'2022_DATI'!W7,0)</f>
        <v>0</v>
      </c>
      <c r="E8" s="76">
        <f>IFERROR('2022_DATI'!T7/'2022_DATI'!W7,0)</f>
        <v>0</v>
      </c>
      <c r="F8" s="76">
        <f>'2022_DATI'!U7/'2022_DATI'!W7</f>
        <v>0.99439708498675483</v>
      </c>
      <c r="G8" s="76">
        <f>'2022_DATI'!R7/'2022_DATI'!W7</f>
        <v>5.5645877231450484E-3</v>
      </c>
      <c r="H8" s="77">
        <f>SUM('2022_DATI'!P7:Q7)/'2022_DATI'!W7</f>
        <v>0</v>
      </c>
      <c r="I8" s="194">
        <f>'2022_DATI'!C7</f>
        <v>3</v>
      </c>
      <c r="J8" s="60">
        <f>('2022_DATI'!S7-'2022_DATI'!AB7+'2022_DATI'!AD7)/('2022_DATI'!L7+0.2671*'2022_DATI'!M7)</f>
        <v>0.94868699064292183</v>
      </c>
      <c r="K8" s="52">
        <f>IFERROR('2022_DATI'!Y7/'2022_DATI'!AE7,0)</f>
        <v>0</v>
      </c>
      <c r="L8" s="72">
        <f>IFERROR('2022_DATI'!AK7/('2022_DATI'!S7-'2022_DATI'!AC7),0)</f>
        <v>0.49347756920139996</v>
      </c>
      <c r="M8" s="192">
        <f>IFERROR(35-'2022_DATI'!AL7,0)</f>
        <v>16.687000000000001</v>
      </c>
      <c r="N8" s="195" t="s">
        <v>149</v>
      </c>
      <c r="O8" s="3" t="str">
        <f>'2022_DATI'!A7</f>
        <v>Monfalcone</v>
      </c>
    </row>
    <row r="9" spans="1:15" ht="15.65" customHeight="1" x14ac:dyDescent="0.3">
      <c r="A9" s="3" t="str">
        <f>'2022_DATI'!A8</f>
        <v>Sermide</v>
      </c>
      <c r="B9" s="74">
        <f>'2022_DATI'!S8/'2022_DATI'!E8</f>
        <v>305721.24956822104</v>
      </c>
      <c r="C9" s="190" cm="1">
        <f t="array" ref="C9">_xlfn.IFS(I9&lt;1,SUM(D9:H9*'FUNZIONI UTILITA'!$G$9:$K$9),
AND(I9&gt;=1,I9&lt;2),SUM(D9:H9*'FUNZIONI UTILITA'!$G$10:$K15),
AND(I9&gt;=2,I9&lt;3),SUM(D9:H9*'FUNZIONI UTILITA'!$G$11:$K$11),
I9&gt;=3,SUM(D9:H9*'FUNZIONI UTILITA'!$G$12:$K$12))</f>
        <v>-12.647236892808674</v>
      </c>
      <c r="D9" s="75">
        <f>IFERROR(('2022_DATI'!V8+'2022_DATI'!Y8)/'2022_DATI'!W8,0)</f>
        <v>1.4038348037616253E-3</v>
      </c>
      <c r="E9" s="76">
        <f>IFERROR('2022_DATI'!T8/'2022_DATI'!W8,0)</f>
        <v>0</v>
      </c>
      <c r="F9" s="76">
        <f>'2022_DATI'!U8/'2022_DATI'!W8</f>
        <v>0</v>
      </c>
      <c r="G9" s="76">
        <f>'2022_DATI'!R8/'2022_DATI'!W8</f>
        <v>0</v>
      </c>
      <c r="H9" s="77">
        <f>SUM('2022_DATI'!P8:Q8)/'2022_DATI'!W8</f>
        <v>0.99927214503802619</v>
      </c>
      <c r="I9" s="194">
        <f>'2022_DATI'!C8</f>
        <v>3</v>
      </c>
      <c r="J9" s="60">
        <f>('2022_DATI'!S8-'2022_DATI'!AB8+'2022_DATI'!AD8)/('2022_DATI'!L8+0.2671*'2022_DATI'!M8)</f>
        <v>0.14640015303293236</v>
      </c>
      <c r="K9" s="52">
        <f>IFERROR('2022_DATI'!Y8/'2022_DATI'!AE8,0)</f>
        <v>0.77672307701918453</v>
      </c>
      <c r="L9" s="72">
        <f>IFERROR('2022_DATI'!AK8/('2022_DATI'!S8-'2022_DATI'!AC8),0)</f>
        <v>0.34038875449991429</v>
      </c>
      <c r="M9" s="192">
        <f>IFERROR(35-'2022_DATI'!AL8,0)</f>
        <v>0</v>
      </c>
      <c r="N9" s="195" t="s">
        <v>149</v>
      </c>
      <c r="O9" s="3" t="str">
        <f>'2022_DATI'!A8</f>
        <v>Sermide</v>
      </c>
    </row>
    <row r="10" spans="1:15" x14ac:dyDescent="0.3">
      <c r="A10" s="3" t="str">
        <f>'2022_DATI'!A9</f>
        <v>Piacenza</v>
      </c>
      <c r="B10" s="74">
        <f>'2022_DATI'!S9/'2022_DATI'!E9</f>
        <v>261995.39280618311</v>
      </c>
      <c r="C10" s="190" cm="1">
        <f t="array" ref="C10">_xlfn.IFS(I10&lt;1,SUM(D10:H10*'FUNZIONI UTILITA'!$G$9:$K$9),
AND(I10&gt;=1,I10&lt;2),SUM(D10:H10*'FUNZIONI UTILITA'!$G$10:$K16),
AND(I10&gt;=2,I10&lt;3),SUM(D10:H10*'FUNZIONI UTILITA'!$G$11:$K$11),
I10&gt;=3,SUM(D10:H10*'FUNZIONI UTILITA'!$G$12:$K$12))</f>
        <v>-12.829913478287523</v>
      </c>
      <c r="D10" s="75">
        <f>IFERROR(('2022_DATI'!V9+'2022_DATI'!Y9)/'2022_DATI'!W9,0)</f>
        <v>0</v>
      </c>
      <c r="E10" s="76">
        <f>IFERROR('2022_DATI'!T9/'2022_DATI'!W9,0)</f>
        <v>0</v>
      </c>
      <c r="F10" s="76">
        <f>'2022_DATI'!U9/'2022_DATI'!W9</f>
        <v>0</v>
      </c>
      <c r="G10" s="76">
        <f>'2022_DATI'!R9/'2022_DATI'!W9</f>
        <v>2.6940129950597316E-3</v>
      </c>
      <c r="H10" s="77">
        <f>SUM('2022_DATI'!P9:Q9)/'2022_DATI'!W9</f>
        <v>0.99728348986790538</v>
      </c>
      <c r="I10" s="194">
        <f>'2022_DATI'!C9</f>
        <v>3</v>
      </c>
      <c r="J10" s="60">
        <f>('2022_DATI'!S9-'2022_DATI'!AB9+'2022_DATI'!AD9)/('2022_DATI'!L9+0.2671*'2022_DATI'!M9)</f>
        <v>0.34013956939606255</v>
      </c>
      <c r="K10" s="52">
        <f>IFERROR('2022_DATI'!Y9/'2022_DATI'!AE9,0)</f>
        <v>0</v>
      </c>
      <c r="L10" s="72">
        <f>IFERROR('2022_DATI'!AK9/('2022_DATI'!S9-'2022_DATI'!AC9),0)</f>
        <v>0.41268851805799256</v>
      </c>
      <c r="M10" s="192">
        <f>IFERROR(35-'2022_DATI'!AL9,0)</f>
        <v>14.725000000000001</v>
      </c>
      <c r="N10" s="195" t="s">
        <v>149</v>
      </c>
      <c r="O10" s="3" t="str">
        <f>'2022_DATI'!A9</f>
        <v>Piacenza</v>
      </c>
    </row>
    <row r="11" spans="1:15" ht="15.05" customHeight="1" x14ac:dyDescent="0.3">
      <c r="A11" s="4" t="str">
        <f>'2022_DATI'!A10</f>
        <v>Novel</v>
      </c>
      <c r="B11" s="74">
        <f>'2022_DATI'!S10/'2022_DATI'!E10</f>
        <v>5559.97</v>
      </c>
      <c r="C11" s="190" cm="1">
        <f t="array" ref="C11">_xlfn.IFS(I11&lt;1,SUM(D11:H11*'FUNZIONI UTILITA'!$G$9:$K$9),
AND(I11&gt;=1,I11&lt;2),SUM(D11:H11*'FUNZIONI UTILITA'!$G$10:$K17),
AND(I11&gt;=2,I11&lt;3),SUM(D11:H11*'FUNZIONI UTILITA'!$G$11:$K$11),
I11&gt;=3,SUM(D11:H11*'FUNZIONI UTILITA'!$G$12:$K$12))</f>
        <v>-12.737982399185606</v>
      </c>
      <c r="D11" s="75">
        <f>IFERROR(('2022_DATI'!V10+'2022_DATI'!Y10)/'2022_DATI'!W10,0)</f>
        <v>0</v>
      </c>
      <c r="E11" s="76">
        <f>IFERROR('2022_DATI'!T10/'2022_DATI'!W10,0)</f>
        <v>0</v>
      </c>
      <c r="F11" s="76">
        <f>'2022_DATI'!U10/'2022_DATI'!W10</f>
        <v>0</v>
      </c>
      <c r="G11" s="76">
        <f>'2022_DATI'!R10/'2022_DATI'!W10</f>
        <v>0</v>
      </c>
      <c r="H11" s="77">
        <f>SUM('2022_DATI'!P10:Q10)/'2022_DATI'!W10</f>
        <v>0.99073196438110278</v>
      </c>
      <c r="I11" s="194">
        <f>'2022_DATI'!C10</f>
        <v>3</v>
      </c>
      <c r="J11" s="60">
        <f>('2022_DATI'!S10-'2022_DATI'!AB10+'2022_DATI'!AD10)/('2022_DATI'!L10+0.2671*'2022_DATI'!M10)</f>
        <v>0.87483371541867916</v>
      </c>
      <c r="K11" s="52">
        <f>IFERROR('2022_DATI'!Y10/'2022_DATI'!AE10,0)</f>
        <v>0</v>
      </c>
      <c r="L11" s="72">
        <f>IFERROR('2022_DATI'!AK10/('2022_DATI'!S10-'2022_DATI'!AC10),0)</f>
        <v>0.34632920681226698</v>
      </c>
      <c r="M11" s="192">
        <f>IFERROR(35-'2022_DATI'!AL10,0)</f>
        <v>0</v>
      </c>
      <c r="N11" s="195" t="s">
        <v>149</v>
      </c>
      <c r="O11" s="4" t="str">
        <f>'2022_DATI'!A10</f>
        <v>Novel</v>
      </c>
    </row>
    <row r="12" spans="1:15" x14ac:dyDescent="0.3">
      <c r="A12" s="5" t="str">
        <f>'2022_DATI'!A11</f>
        <v>La Casella</v>
      </c>
      <c r="B12" s="74">
        <f>'2022_DATI'!S11/'2022_DATI'!E11</f>
        <v>372051.01771653543</v>
      </c>
      <c r="C12" s="190" cm="1">
        <f t="array" ref="C12">_xlfn.IFS(I12&lt;1,SUM(D12:H12*'FUNZIONI UTILITA'!$G$9:$K$9),
AND(I12&gt;=1,I12&lt;2),SUM(D12:H12*'FUNZIONI UTILITA'!$G$10:$K31),
AND(I12&gt;=2,I12&lt;3),SUM(D12:H12*'FUNZIONI UTILITA'!$G$11:$K$11),
I12&gt;=3,SUM(D12:H12*'FUNZIONI UTILITA'!$G$12:$K$12))</f>
        <v>-12.857012450302289</v>
      </c>
      <c r="D12" s="75">
        <f>IFERROR(('2022_DATI'!V11+'2022_DATI'!Y11)/'2022_DATI'!W11,0)</f>
        <v>0</v>
      </c>
      <c r="E12" s="76">
        <f>IFERROR('2022_DATI'!T11/'2022_DATI'!W11,0)</f>
        <v>0</v>
      </c>
      <c r="F12" s="76">
        <f>'2022_DATI'!U11/'2022_DATI'!W11</f>
        <v>0</v>
      </c>
      <c r="G12" s="76">
        <f>'2022_DATI'!R11/'2022_DATI'!W11</f>
        <v>0</v>
      </c>
      <c r="H12" s="77">
        <f>SUM('2022_DATI'!P11:Q11)/'2022_DATI'!W11</f>
        <v>0.99998985724573364</v>
      </c>
      <c r="I12" s="194">
        <f>'2022_DATI'!C11</f>
        <v>3</v>
      </c>
      <c r="J12" s="60">
        <f>('2022_DATI'!S11-'2022_DATI'!AB11+'2022_DATI'!AD11)/('2022_DATI'!L11+0.2671*'2022_DATI'!M11)</f>
        <v>0.31616787701149895</v>
      </c>
      <c r="K12" s="52">
        <f>IFERROR('2022_DATI'!Y11/'2022_DATI'!AE11,0)</f>
        <v>0</v>
      </c>
      <c r="L12" s="72">
        <f>IFERROR('2022_DATI'!AK11/('2022_DATI'!S11-'2022_DATI'!AC11),0)</f>
        <v>0.61164991976538963</v>
      </c>
      <c r="M12" s="192">
        <f>IFERROR(35-'2022_DATI'!AL11,0)</f>
        <v>15.0075</v>
      </c>
      <c r="N12" s="195">
        <v>0</v>
      </c>
      <c r="O12" s="5" t="str">
        <f>'2022_DATI'!A11</f>
        <v>La Casella</v>
      </c>
    </row>
    <row r="13" spans="1:15" x14ac:dyDescent="0.3">
      <c r="A13" s="5" t="str">
        <f>'2022_DATI'!A12</f>
        <v>Santa Barbara</v>
      </c>
      <c r="B13" s="74">
        <f>'2022_DATI'!S12/'2022_DATI'!E12</f>
        <v>3555.5564102564103</v>
      </c>
      <c r="C13" s="190" cm="1">
        <f t="array" ref="C13">_xlfn.IFS(I13&lt;1,SUM(D13:H13*'FUNZIONI UTILITA'!$G$9:$K$9),
AND(I13&gt;=1,I13&lt;2),SUM(D13:H13*'FUNZIONI UTILITA'!$G$10:$K31),
AND(I13&gt;=2,I13&lt;3),SUM(D13:H13*'FUNZIONI UTILITA'!$G$11:$K$11),
I13&gt;=3,SUM(D13:H13*'FUNZIONI UTILITA'!$G$12:$K$12))</f>
        <v>-8.5530638780409625</v>
      </c>
      <c r="D13" s="75">
        <f>IFERROR(('2022_DATI'!V12+'2022_DATI'!Y12)/'2022_DATI'!W12,0)</f>
        <v>0</v>
      </c>
      <c r="E13" s="76">
        <f>IFERROR('2022_DATI'!T12/'2022_DATI'!W12,0)</f>
        <v>0</v>
      </c>
      <c r="F13" s="76">
        <f>'2022_DATI'!U12/'2022_DATI'!W12</f>
        <v>0</v>
      </c>
      <c r="G13" s="76">
        <f>'2022_DATI'!R12/'2022_DATI'!W12</f>
        <v>0</v>
      </c>
      <c r="H13" s="77">
        <f>SUM('2022_DATI'!P12:Q12)/'2022_DATI'!W12</f>
        <v>0.99785745243811241</v>
      </c>
      <c r="I13" s="194">
        <f>'2022_DATI'!C12</f>
        <v>2</v>
      </c>
      <c r="J13" s="60">
        <f>('2022_DATI'!S12-'2022_DATI'!AB12+'2022_DATI'!AD12)/('2022_DATI'!L12+0.2671*'2022_DATI'!M12)</f>
        <v>1.0057924929697297</v>
      </c>
      <c r="K13" s="52">
        <f>IFERROR('2022_DATI'!Y12/'2022_DATI'!AE12,0)</f>
        <v>0</v>
      </c>
      <c r="L13" s="72">
        <f>IFERROR('2022_DATI'!AK12/('2022_DATI'!S12-'2022_DATI'!AC12),0)</f>
        <v>0.33860544745061361</v>
      </c>
      <c r="M13" s="192">
        <f>IFERROR(35-'2022_DATI'!AL12,0)</f>
        <v>16.5425</v>
      </c>
      <c r="N13" s="195">
        <v>1</v>
      </c>
      <c r="O13" s="5" t="str">
        <f>'2022_DATI'!A12</f>
        <v>Santa Barbara</v>
      </c>
    </row>
    <row r="14" spans="1:15" ht="30.05" x14ac:dyDescent="0.3">
      <c r="A14" s="5" t="str">
        <f>'2022_DATI'!A13</f>
        <v>Torrevaldaliga Nord</v>
      </c>
      <c r="B14" s="74">
        <f>'2022_DATI'!S13/'2022_DATI'!E13</f>
        <v>50.505050505050505</v>
      </c>
      <c r="C14" s="190" cm="1">
        <f t="array" ref="C14">_xlfn.IFS(I14&lt;1,SUM(D14:H14*'FUNZIONI UTILITA'!$G$9:$K$9),
AND(I14&gt;=1,I14&lt;2),SUM(D14:H14*'FUNZIONI UTILITA'!$G$10:$K31),
AND(I14&gt;=2,I14&lt;3),SUM(D14:H14*'FUNZIONI UTILITA'!$G$11:$K$11),
I14&gt;=3,SUM(D14:H14*'FUNZIONI UTILITA'!$G$12:$K$12))</f>
        <v>85.747400009510756</v>
      </c>
      <c r="D14" s="75">
        <f>IFERROR(('2022_DATI'!V13+'2022_DATI'!Y13)/'2022_DATI'!W13,0)</f>
        <v>2.9614773828914734E-4</v>
      </c>
      <c r="E14" s="76">
        <f>IFERROR('2022_DATI'!T13/'2022_DATI'!W13,0)</f>
        <v>0</v>
      </c>
      <c r="F14" s="76">
        <f>'2022_DATI'!U13/'2022_DATI'!W13</f>
        <v>0.99994211183685844</v>
      </c>
      <c r="G14" s="76">
        <f>'2022_DATI'!R13/'2022_DATI'!W13</f>
        <v>0</v>
      </c>
      <c r="H14" s="77">
        <f>SUM('2022_DATI'!P13:Q13)/'2022_DATI'!W13</f>
        <v>0</v>
      </c>
      <c r="I14" s="194">
        <f>'2022_DATI'!C13</f>
        <v>2</v>
      </c>
      <c r="J14" s="60">
        <f>('2022_DATI'!S13-'2022_DATI'!AB13+'2022_DATI'!AD13)/('2022_DATI'!L13+0.2671*'2022_DATI'!M13)</f>
        <v>1.771793054571226E-2</v>
      </c>
      <c r="K14" s="52">
        <f>IFERROR('2022_DATI'!Y13/'2022_DATI'!AE13,0)</f>
        <v>1</v>
      </c>
      <c r="L14" s="72">
        <f>IFERROR('2022_DATI'!AK13/('2022_DATI'!S13-'2022_DATI'!AC13),0)</f>
        <v>0</v>
      </c>
      <c r="M14" s="192">
        <f>IFERROR(35-'2022_DATI'!AL13,0)</f>
        <v>13.278333333333336</v>
      </c>
      <c r="N14" s="195" t="s">
        <v>149</v>
      </c>
      <c r="O14" s="5" t="str">
        <f>'2022_DATI'!A13</f>
        <v>Torrevaldaliga Nord</v>
      </c>
    </row>
    <row r="15" spans="1:15" x14ac:dyDescent="0.3">
      <c r="A15" s="6" t="str">
        <f>'2022_DATI'!A14</f>
        <v>Pietrafitta</v>
      </c>
      <c r="B15" s="74">
        <f>'2022_DATI'!S14/'2022_DATI'!E14</f>
        <v>10373.272972972973</v>
      </c>
      <c r="C15" s="190" cm="1">
        <f t="array" ref="C15">_xlfn.IFS(I15&lt;1,SUM(D15:H15*'FUNZIONI UTILITA'!$G$9:$K$9),
AND(I15&gt;=1,I15&lt;2),SUM(D15:H15*'FUNZIONI UTILITA'!$G$10:$K31),
AND(I15&gt;=2,I15&lt;3),SUM(D15:H15*'FUNZIONI UTILITA'!$G$11:$K$11),
I15&gt;=3,SUM(D15:H15*'FUNZIONI UTILITA'!$G$12:$K$12))</f>
        <v>-6.0955253397160369</v>
      </c>
      <c r="D15" s="75">
        <f>IFERROR(('2022_DATI'!V14+'2022_DATI'!Y14)/'2022_DATI'!W14,0)</f>
        <v>1.9231595959574906E-2</v>
      </c>
      <c r="E15" s="76">
        <f>IFERROR('2022_DATI'!T14/'2022_DATI'!W14,0)</f>
        <v>0</v>
      </c>
      <c r="F15" s="76">
        <f>'2022_DATI'!U14/'2022_DATI'!W14</f>
        <v>0</v>
      </c>
      <c r="G15" s="76">
        <f>'2022_DATI'!R14/'2022_DATI'!W14</f>
        <v>0</v>
      </c>
      <c r="H15" s="77">
        <f>SUM('2022_DATI'!P14:Q14)/'2022_DATI'!W14</f>
        <v>0.99961856236049451</v>
      </c>
      <c r="I15" s="194">
        <f>'2022_DATI'!C14</f>
        <v>2</v>
      </c>
      <c r="J15" s="60">
        <f>('2022_DATI'!S14-'2022_DATI'!AB14+'2022_DATI'!AD14)/('2022_DATI'!L14+0.2671*'2022_DATI'!M14)</f>
        <v>6.449729451084913</v>
      </c>
      <c r="K15" s="52">
        <f>IFERROR('2022_DATI'!Y14/'2022_DATI'!AE14,0)</f>
        <v>9.3254868171199934E-2</v>
      </c>
      <c r="L15" s="72">
        <f>IFERROR('2022_DATI'!AK14/('2022_DATI'!S14-'2022_DATI'!AC14),0)</f>
        <v>0.23632250096065924</v>
      </c>
      <c r="M15" s="192">
        <f>IFERROR(35-'2022_DATI'!AL14,0)</f>
        <v>18.436666666666667</v>
      </c>
      <c r="N15" s="195" t="s">
        <v>149</v>
      </c>
      <c r="O15" s="6" t="str">
        <f>'2022_DATI'!A14</f>
        <v>Pietrafitta</v>
      </c>
    </row>
    <row r="16" spans="1:15" x14ac:dyDescent="0.3">
      <c r="A16" s="6" t="str">
        <f>'2022_DATI'!A15</f>
        <v>Archimede</v>
      </c>
      <c r="B16" s="74">
        <f>'2022_DATI'!S15/'2022_DATI'!E15</f>
        <v>3365.6582278481014</v>
      </c>
      <c r="C16" s="190" cm="1">
        <f t="array" ref="C16">_xlfn.IFS(I16&lt;1,SUM(D16:H16*'FUNZIONI UTILITA'!$G$9:$K$9),
AND(I16&gt;=1,I16&lt;2),SUM(D16:H16*'FUNZIONI UTILITA'!$G$10:$K31),
AND(I16&gt;=2,I16&lt;3),SUM(D16:H16*'FUNZIONI UTILITA'!$G$11:$K$11),
I16&gt;=3,SUM(D16:H16*'FUNZIONI UTILITA'!$G$12:$K$12))</f>
        <v>64.206022652923025</v>
      </c>
      <c r="D16" s="75">
        <f>IFERROR(('2022_DATI'!V15+'2022_DATI'!Y15)/'2022_DATI'!W15,0)</f>
        <v>0</v>
      </c>
      <c r="E16" s="76">
        <f>IFERROR('2022_DATI'!T15/'2022_DATI'!W15,0)</f>
        <v>0</v>
      </c>
      <c r="F16" s="76">
        <f>'2022_DATI'!U15/'2022_DATI'!W15</f>
        <v>0.99840616734417453</v>
      </c>
      <c r="G16" s="76">
        <f>'2022_DATI'!R15/'2022_DATI'!W15</f>
        <v>1.5938326558254251E-3</v>
      </c>
      <c r="H16" s="77">
        <f>SUM('2022_DATI'!P15:Q15)/'2022_DATI'!W15</f>
        <v>0</v>
      </c>
      <c r="I16" s="194">
        <f>'2022_DATI'!C15</f>
        <v>0</v>
      </c>
      <c r="J16" s="60">
        <f>('2022_DATI'!S15-'2022_DATI'!AB15+'2022_DATI'!AD15)/('2022_DATI'!L15+0.2671*'2022_DATI'!M15)</f>
        <v>4.4841840038856962</v>
      </c>
      <c r="K16" s="52">
        <f>IFERROR('2022_DATI'!Y15/'2022_DATI'!AE15,0)</f>
        <v>0</v>
      </c>
      <c r="L16" s="72">
        <f>IFERROR('2022_DATI'!AK15/('2022_DATI'!S15-'2022_DATI'!AC15),0)</f>
        <v>7.8358099493393812E-2</v>
      </c>
      <c r="M16" s="192">
        <f>IFERROR(35-'2022_DATI'!AL15,0)</f>
        <v>12.8</v>
      </c>
      <c r="N16" s="195" t="s">
        <v>149</v>
      </c>
      <c r="O16" s="6" t="str">
        <f>'2022_DATI'!A15</f>
        <v>Archimede</v>
      </c>
    </row>
    <row r="17" spans="1:15" x14ac:dyDescent="0.3">
      <c r="A17" s="6" t="str">
        <f>'2022_DATI'!A16</f>
        <v>Federico II</v>
      </c>
      <c r="B17" s="74">
        <f>'2022_DATI'!S16/'2022_DATI'!E16</f>
        <v>350.66969696969699</v>
      </c>
      <c r="C17" s="190" cm="1">
        <f t="array" ref="C17">_xlfn.IFS(I17&lt;1,SUM(D17:H17*'FUNZIONI UTILITA'!$G$9:$K$9),
AND(I17&gt;=1,I17&lt;2),SUM(D17:H17*'FUNZIONI UTILITA'!$G$10:$K31),
AND(I17&gt;=2,I17&lt;3),SUM(D17:H17*'FUNZIONI UTILITA'!$G$11:$K$11),
I17&gt;=3,SUM(D17:H17*'FUNZIONI UTILITA'!$G$12:$K$12))</f>
        <v>85.856751503047064</v>
      </c>
      <c r="D17" s="75">
        <f>IFERROR(('2022_DATI'!V16+'2022_DATI'!Y16)/'2022_DATI'!W16,0)</f>
        <v>1.3621534092819879E-3</v>
      </c>
      <c r="E17" s="76">
        <f>IFERROR('2022_DATI'!T16/'2022_DATI'!W16,0)</f>
        <v>3.28346287167822E-5</v>
      </c>
      <c r="F17" s="76">
        <f>'2022_DATI'!U16/'2022_DATI'!W16</f>
        <v>0.99959832043901753</v>
      </c>
      <c r="G17" s="76">
        <f>'2022_DATI'!R16/'2022_DATI'!W16</f>
        <v>7.2781859868306854E-5</v>
      </c>
      <c r="H17" s="77">
        <f>SUM('2022_DATI'!P16:Q16)/'2022_DATI'!W16</f>
        <v>2.4560763385456943E-4</v>
      </c>
      <c r="I17" s="194">
        <f>'2022_DATI'!C16</f>
        <v>2</v>
      </c>
      <c r="J17" s="60">
        <f>('2022_DATI'!S16)/('2022_DATI'!L16+0.2671*'2022_DATI'!M16)</f>
        <v>9.6819751326323755E-2</v>
      </c>
      <c r="K17" s="52">
        <f>IFERROR('2022_DATI'!Y16/'2022_DATI'!AE16,0)</f>
        <v>1</v>
      </c>
      <c r="L17" s="72">
        <f>IFERROR('2022_DATI'!AK16/('2022_DATI'!S16-'2022_DATI'!AC16),0)</f>
        <v>0</v>
      </c>
      <c r="M17" s="192">
        <f>IFERROR(35-'2022_DATI'!AL16,0)</f>
        <v>11.989999999999998</v>
      </c>
      <c r="N17" s="195">
        <v>1</v>
      </c>
      <c r="O17" s="6" t="str">
        <f>'2022_DATI'!A16</f>
        <v>Federico II</v>
      </c>
    </row>
    <row r="18" spans="1:15" x14ac:dyDescent="0.3">
      <c r="A18" s="7" t="str">
        <f>'2022_DATI'!A17</f>
        <v>Leinì</v>
      </c>
      <c r="B18" s="74">
        <f>'2022_DATI'!S17/'2022_DATI'!E17</f>
        <v>199.19354838709677</v>
      </c>
      <c r="C18" s="190" cm="1">
        <f t="array" ref="C18">_xlfn.IFS(I18&lt;1,SUM(D18:H18*'FUNZIONI UTILITA'!$G$9:$K$9),
AND(I18&gt;=1,I18&lt;2),SUM(D18:H18*'FUNZIONI UTILITA'!$G$10:$K31),
AND(I18&gt;=2,I18&lt;3),SUM(D18:H18*'FUNZIONI UTILITA'!$G$11:$K$11),
I18&gt;=3,SUM(D18:H18*'FUNZIONI UTILITA'!$G$12:$K$12))</f>
        <v>0</v>
      </c>
      <c r="D18" s="75">
        <f>IFERROR(('2022_DATI'!V17+'2022_DATI'!Y17)/'2022_DATI'!W17,0)</f>
        <v>0</v>
      </c>
      <c r="E18" s="76">
        <f>IFERROR('2022_DATI'!T17/'2022_DATI'!W17,0)</f>
        <v>0</v>
      </c>
      <c r="F18" s="76">
        <f>'2022_DATI'!U17/'2022_DATI'!W17</f>
        <v>0</v>
      </c>
      <c r="G18" s="76">
        <f>'2022_DATI'!R17/'2022_DATI'!W17</f>
        <v>0</v>
      </c>
      <c r="H18" s="77">
        <f>SUM('2022_DATI'!P17:Q17)/'2022_DATI'!W17</f>
        <v>0</v>
      </c>
      <c r="I18" s="194">
        <f>'2022_DATI'!C17</f>
        <v>3</v>
      </c>
      <c r="J18" s="60">
        <f>('2022_DATI'!S17-'2022_DATI'!AB17+'2022_DATI'!AD17)/('2022_DATI'!L17+0.2671*'2022_DATI'!M17)</f>
        <v>3.770907164147419E-2</v>
      </c>
      <c r="K18" s="52">
        <f>IFERROR('2022_DATI'!Y17/'2022_DATI'!AE17,0)</f>
        <v>0</v>
      </c>
      <c r="L18" s="72">
        <f>IFERROR('2022_DATI'!AK17/('2022_DATI'!S17-'2022_DATI'!AC17),0)</f>
        <v>0.40817077659182921</v>
      </c>
      <c r="M18" s="192">
        <f>IFERROR(35-'2022_DATI'!AL17,0)</f>
        <v>18</v>
      </c>
      <c r="N18" s="195">
        <v>0</v>
      </c>
      <c r="O18" s="7" t="str">
        <f>'2022_DATI'!A17</f>
        <v>Leinì</v>
      </c>
    </row>
    <row r="19" spans="1:15" x14ac:dyDescent="0.3">
      <c r="A19" s="7" t="str">
        <f>'2022_DATI'!A18</f>
        <v>Voghera</v>
      </c>
      <c r="B19" s="74">
        <f>'2022_DATI'!S18/'2022_DATI'!E18</f>
        <v>203.7560975609756</v>
      </c>
      <c r="C19" s="190" cm="1">
        <f t="array" ref="C19">_xlfn.IFS(I19&lt;1,SUM(D19:H19*'FUNZIONI UTILITA'!$G$9:$K$9),
AND(I19&gt;=1,I19&lt;2),SUM(D19:H19*'FUNZIONI UTILITA'!$G$10:$K31),
AND(I19&gt;=2,I19&lt;3),SUM(D19:H19*'FUNZIONI UTILITA'!$G$11:$K$11),
I19&gt;=3,SUM(D19:H19*'FUNZIONI UTILITA'!$G$12:$K$12))</f>
        <v>-2.8571428571428572</v>
      </c>
      <c r="D19" s="75">
        <f>IFERROR(('2022_DATI'!V18+'2022_DATI'!Y18)/'2022_DATI'!W18,0)</f>
        <v>0</v>
      </c>
      <c r="E19" s="76">
        <f>IFERROR('2022_DATI'!T18/'2022_DATI'!W18,0)</f>
        <v>0</v>
      </c>
      <c r="F19" s="76">
        <f>'2022_DATI'!U18/'2022_DATI'!W18</f>
        <v>0</v>
      </c>
      <c r="G19" s="76">
        <f>'2022_DATI'!R18/'2022_DATI'!W18</f>
        <v>1</v>
      </c>
      <c r="H19" s="77">
        <f>SUM('2022_DATI'!P18:Q18)/'2022_DATI'!W18</f>
        <v>0</v>
      </c>
      <c r="I19" s="194">
        <f>'2022_DATI'!C18</f>
        <v>3</v>
      </c>
      <c r="J19" s="60">
        <f>('2022_DATI'!S18-'2022_DATI'!AB18+'2022_DATI'!AD18)/('2022_DATI'!L18+0.2671*'2022_DATI'!M18)</f>
        <v>3.2212204160749464E-2</v>
      </c>
      <c r="K19" s="52">
        <f>IFERROR('2022_DATI'!Y18/'2022_DATI'!AE18,0)</f>
        <v>0</v>
      </c>
      <c r="L19" s="72">
        <f>IFERROR('2022_DATI'!AK18/('2022_DATI'!S18-'2022_DATI'!AC18),0)</f>
        <v>0.68496528609049556</v>
      </c>
      <c r="M19" s="192">
        <f>IFERROR(35-'2022_DATI'!AL18,0)</f>
        <v>0</v>
      </c>
      <c r="N19" s="195">
        <v>2</v>
      </c>
      <c r="O19" s="7" t="str">
        <f>'2022_DATI'!A18</f>
        <v>Voghera</v>
      </c>
    </row>
    <row r="20" spans="1:15" x14ac:dyDescent="0.3">
      <c r="A20" s="8" t="str">
        <f>'2022_DATI'!A19</f>
        <v>Moncalieri</v>
      </c>
      <c r="B20" s="74">
        <f>'2022_DATI'!S19/'2022_DATI'!E19</f>
        <v>267963.44374999998</v>
      </c>
      <c r="C20" s="190" cm="1">
        <f t="array" ref="C20">_xlfn.IFS(I20&lt;1,SUM(D20:H20*'FUNZIONI UTILITA'!$G$9:$K$9),
AND(I20&gt;=1,I20&lt;2),SUM(D20:H20*'FUNZIONI UTILITA'!$G$10:$K31),
AND(I20&gt;=2,I20&lt;3),SUM(D20:H20*'FUNZIONI UTILITA'!$G$11:$K$11),
I20&gt;=3,SUM(D20:H20*'FUNZIONI UTILITA'!$G$12:$K$12))</f>
        <v>-12.809939943267247</v>
      </c>
      <c r="D20" s="75">
        <f>IFERROR(('2022_DATI'!V19+'2022_DATI'!Y19)/'2022_DATI'!W19,0)</f>
        <v>0</v>
      </c>
      <c r="E20" s="76">
        <f>IFERROR('2022_DATI'!T19/'2022_DATI'!W19,0)</f>
        <v>0</v>
      </c>
      <c r="F20" s="76">
        <f>'2022_DATI'!U19/'2022_DATI'!W19</f>
        <v>0</v>
      </c>
      <c r="G20" s="76">
        <f>'2022_DATI'!R19/'2022_DATI'!W19</f>
        <v>4.4445148313257557E-3</v>
      </c>
      <c r="H20" s="77">
        <f>SUM('2022_DATI'!P19:Q19)/'2022_DATI'!W19</f>
        <v>0.99534099229160244</v>
      </c>
      <c r="I20" s="194">
        <f>'2022_DATI'!C19</f>
        <v>3</v>
      </c>
      <c r="J20" s="60">
        <f>('2022_DATI'!S19-'2022_DATI'!AB19+'2022_DATI'!AD19)/('2022_DATI'!L19+0.2671*'2022_DATI'!M19)</f>
        <v>0.32476447174132389</v>
      </c>
      <c r="K20" s="52">
        <f>IFERROR('2022_DATI'!Y19/'2022_DATI'!AE19,0)</f>
        <v>0</v>
      </c>
      <c r="L20" s="72">
        <f>IFERROR('2022_DATI'!AK19/('2022_DATI'!S19-'2022_DATI'!AC19),0)</f>
        <v>0</v>
      </c>
      <c r="M20" s="192">
        <f>IFERROR(35-'2022_DATI'!AL19,0)</f>
        <v>15.7</v>
      </c>
      <c r="N20" s="195" t="s">
        <v>149</v>
      </c>
      <c r="O20" s="8" t="str">
        <f>'2022_DATI'!A19</f>
        <v>Moncalieri</v>
      </c>
    </row>
    <row r="21" spans="1:15" x14ac:dyDescent="0.3">
      <c r="A21" s="9" t="str">
        <f>'2022_DATI'!A20</f>
        <v>Reggio Emilia</v>
      </c>
      <c r="B21" s="74">
        <f>'2022_DATI'!S20/'2022_DATI'!E20</f>
        <v>898.35714285714289</v>
      </c>
      <c r="C21" s="190" cm="1">
        <f t="array" ref="C21">_xlfn.IFS(I21&lt;1,SUM(D21:H21*'FUNZIONI UTILITA'!$G$9:$K$9),
AND(I21&gt;=1,I21&lt;2),SUM(D21:H21*'FUNZIONI UTILITA'!$G$10:$K31),
AND(I21&gt;=2,I21&lt;3),SUM(D21:H21*'FUNZIONI UTILITA'!$G$11:$K$11),
I21&gt;=3,SUM(D21:H21*'FUNZIONI UTILITA'!$G$12:$K$12))</f>
        <v>51.559988215677777</v>
      </c>
      <c r="D21" s="75">
        <f>IFERROR(('2022_DATI'!V20+'2022_DATI'!Y20)/'2022_DATI'!W20,0)</f>
        <v>0.38672166017037907</v>
      </c>
      <c r="E21" s="76">
        <f>IFERROR('2022_DATI'!T20/'2022_DATI'!W20,0)</f>
        <v>0</v>
      </c>
      <c r="F21" s="76">
        <f>'2022_DATI'!U20/'2022_DATI'!W20</f>
        <v>0</v>
      </c>
      <c r="G21" s="76">
        <f>'2022_DATI'!R20/'2022_DATI'!W20</f>
        <v>0.64352116782016255</v>
      </c>
      <c r="H21" s="77">
        <f>SUM('2022_DATI'!P20:Q20)/'2022_DATI'!W20</f>
        <v>0</v>
      </c>
      <c r="I21" s="194">
        <f>'2022_DATI'!C20</f>
        <v>2</v>
      </c>
      <c r="J21" s="60">
        <f>('2022_DATI'!S20-'2022_DATI'!AB20+'2022_DATI'!AD20)/('2022_DATI'!L20+0.2671*'2022_DATI'!M20)</f>
        <v>0.2223981870047454</v>
      </c>
      <c r="K21" s="52">
        <f>IFERROR('2022_DATI'!Y20/'2022_DATI'!AE20,0)</f>
        <v>1</v>
      </c>
      <c r="L21" s="72">
        <f>IFERROR('2022_DATI'!AK20/('2022_DATI'!S20-'2022_DATI'!AC20),0)</f>
        <v>0.5271527391269778</v>
      </c>
      <c r="M21" s="192">
        <f>IFERROR(35-'2022_DATI'!AL20,0)</f>
        <v>0</v>
      </c>
      <c r="N21" s="195">
        <v>1</v>
      </c>
      <c r="O21" s="9" t="str">
        <f>'2022_DATI'!A20</f>
        <v>Reggio Emilia</v>
      </c>
    </row>
    <row r="22" spans="1:15" x14ac:dyDescent="0.3">
      <c r="A22" s="9" t="str">
        <f>'2022_DATI'!A21</f>
        <v>Torino Nord</v>
      </c>
      <c r="B22" s="74">
        <f>'2022_DATI'!S21/'2022_DATI'!E21</f>
        <v>1194.8871794871795</v>
      </c>
      <c r="C22" s="190" cm="1">
        <f t="array" ref="C22">_xlfn.IFS(I22&lt;1,SUM(D22:H22*'FUNZIONI UTILITA'!$G$9:$K$9),
AND(I22&gt;=1,I22&lt;2),SUM(D22:H22*'FUNZIONI UTILITA'!$G$10:$K31),
AND(I22&gt;=2,I22&lt;3),SUM(D22:H22*'FUNZIONI UTILITA'!$G$11:$K$11),
I22&gt;=3,SUM(D22:H22*'FUNZIONI UTILITA'!$G$12:$K$12))</f>
        <v>25.66970745360587</v>
      </c>
      <c r="D22" s="75">
        <f>IFERROR(('2022_DATI'!V21+'2022_DATI'!Y21)/'2022_DATI'!W21,0)</f>
        <v>0.19591395034254047</v>
      </c>
      <c r="E22" s="76">
        <f>IFERROR('2022_DATI'!T21/'2022_DATI'!W21,0)</f>
        <v>0</v>
      </c>
      <c r="F22" s="76">
        <f>'2022_DATI'!U21/'2022_DATI'!W21</f>
        <v>0</v>
      </c>
      <c r="G22" s="76">
        <f>'2022_DATI'!R21/'2022_DATI'!W21</f>
        <v>0.81129990836496924</v>
      </c>
      <c r="H22" s="77">
        <f>SUM('2022_DATI'!P21:Q21)/'2022_DATI'!W21</f>
        <v>0</v>
      </c>
      <c r="I22" s="194">
        <f>'2022_DATI'!C21</f>
        <v>3</v>
      </c>
      <c r="J22" s="60">
        <f>('2022_DATI'!S21-'2022_DATI'!AB21+'2022_DATI'!AD21)/('2022_DATI'!L21+0.2671*'2022_DATI'!M21)</f>
        <v>0.21969102034416368</v>
      </c>
      <c r="K22" s="52">
        <f>IFERROR('2022_DATI'!Y21/'2022_DATI'!AE21,0)</f>
        <v>1</v>
      </c>
      <c r="L22" s="72">
        <f>IFERROR('2022_DATI'!AK21/('2022_DATI'!S21-'2022_DATI'!AC21),0)</f>
        <v>0.5139783607936379</v>
      </c>
      <c r="M22" s="192">
        <f>IFERROR(35-'2022_DATI'!AL21,0)</f>
        <v>0</v>
      </c>
      <c r="N22" s="195">
        <v>2</v>
      </c>
      <c r="O22" s="9" t="str">
        <f>'2022_DATI'!A21</f>
        <v>Torino Nord</v>
      </c>
    </row>
    <row r="23" spans="1:15" x14ac:dyDescent="0.3">
      <c r="A23" s="8" t="str">
        <f>'2022_DATI'!A22</f>
        <v>Turbigo</v>
      </c>
      <c r="B23" s="74">
        <f>'2022_DATI'!S22/'2022_DATI'!E22</f>
        <v>88252.769409937886</v>
      </c>
      <c r="C23" s="190" cm="1">
        <f t="array" ref="C23">_xlfn.IFS(I23&lt;1,SUM(D23:H23*'FUNZIONI UTILITA'!$G$9:$K$9),
AND(I23&gt;=1,I23&lt;2),SUM(D23:H23*'FUNZIONI UTILITA'!$G$10:$K32),
AND(I23&gt;=2,I23&lt;3),SUM(D23:H23*'FUNZIONI UTILITA'!$G$11:$K$11),
I23&gt;=3,SUM(D23:H23*'FUNZIONI UTILITA'!$G$12:$K$12))</f>
        <v>-12.854514662788199</v>
      </c>
      <c r="D23" s="75">
        <f>IFERROR(('2022_DATI'!V22+'2022_DATI'!Y22)/'2022_DATI'!W22,0)</f>
        <v>0</v>
      </c>
      <c r="E23" s="76">
        <f>IFERROR('2022_DATI'!T22/'2022_DATI'!W22,0)</f>
        <v>0</v>
      </c>
      <c r="F23" s="76">
        <f>'2022_DATI'!U22/'2022_DATI'!W22</f>
        <v>0</v>
      </c>
      <c r="G23" s="76">
        <f>'2022_DATI'!R22/'2022_DATI'!W22</f>
        <v>3.4688264449885693E-5</v>
      </c>
      <c r="H23" s="77">
        <f>SUM('2022_DATI'!P22:Q22)/'2022_DATI'!W22</f>
        <v>0.99978787638031563</v>
      </c>
      <c r="I23" s="194">
        <f>'2022_DATI'!C22</f>
        <v>3</v>
      </c>
      <c r="J23" s="60">
        <f>('2022_DATI'!S22-'2022_DATI'!AB22+'2022_DATI'!AD22)/('2022_DATI'!L22+0.2671*'2022_DATI'!M22)</f>
        <v>0.10117900552486188</v>
      </c>
      <c r="K23" s="52">
        <f>IFERROR('2022_DATI'!Y22/'2022_DATI'!AE22,0)</f>
        <v>0</v>
      </c>
      <c r="L23" s="72">
        <f>IFERROR('2022_DATI'!AK22/('2022_DATI'!S22-'2022_DATI'!AC22),0)</f>
        <v>0</v>
      </c>
      <c r="M23" s="192">
        <f>IFERROR(35-'2022_DATI'!AL22,0)</f>
        <v>0</v>
      </c>
      <c r="N23" s="195">
        <v>0</v>
      </c>
      <c r="O23" s="8" t="str">
        <f>'2022_DATI'!A22</f>
        <v>Turbigo</v>
      </c>
    </row>
    <row r="24" spans="1:15" x14ac:dyDescent="0.3">
      <c r="A24" s="10" t="str">
        <f>'2022_DATI'!A23</f>
        <v>Aprilia</v>
      </c>
      <c r="B24" s="74">
        <f>'2022_DATI'!S23/'2022_DATI'!E23</f>
        <v>43.005000000000003</v>
      </c>
      <c r="C24" s="190" cm="1">
        <f t="array" ref="C24">_xlfn.IFS(I24&lt;1,SUM(D24:H24*'FUNZIONI UTILITA'!$G$9:$K$9),
AND(I24&gt;=1,I24&lt;2),SUM(D24:H24*'FUNZIONI UTILITA'!$G$10:$K33),
AND(I24&gt;=2,I24&lt;3),SUM(D24:H24*'FUNZIONI UTILITA'!$G$11:$K$11),
I24&gt;=3,SUM(D24:H24*'FUNZIONI UTILITA'!$G$12:$K$12))</f>
        <v>32.753185005304587</v>
      </c>
      <c r="D24" s="75">
        <f>IFERROR(('2022_DATI'!V23+'2022_DATI'!Y23)/'2022_DATI'!W23,0)</f>
        <v>0</v>
      </c>
      <c r="E24" s="76">
        <f>IFERROR('2022_DATI'!T23/'2022_DATI'!W23,0)</f>
        <v>0.27620810805124862</v>
      </c>
      <c r="F24" s="76">
        <f>'2022_DATI'!U23/'2022_DATI'!W23</f>
        <v>0</v>
      </c>
      <c r="G24" s="76">
        <f>'2022_DATI'!R23/'2022_DATI'!W23</f>
        <v>0.69149853785790927</v>
      </c>
      <c r="H24" s="77">
        <f>SUM('2022_DATI'!P23:Q23)/'2022_DATI'!W23</f>
        <v>0</v>
      </c>
      <c r="I24" s="194">
        <f>'2022_DATI'!C23</f>
        <v>2</v>
      </c>
      <c r="J24" s="60">
        <f>('2022_DATI'!S23-'2022_DATI'!AB23+'2022_DATI'!AD23)/('2022_DATI'!L23+0.2671*'2022_DATI'!M23)</f>
        <v>2.4528592450634816E-2</v>
      </c>
      <c r="K24" s="52">
        <f>IFERROR('2022_DATI'!Y23/'2022_DATI'!AE23,0)</f>
        <v>0</v>
      </c>
      <c r="L24" s="72">
        <f>IFERROR('2022_DATI'!AK23/('2022_DATI'!S23-'2022_DATI'!AC23),0)</f>
        <v>0</v>
      </c>
      <c r="M24" s="192">
        <f>IFERROR(35-'2022_DATI'!AL23,0)</f>
        <v>0</v>
      </c>
      <c r="N24" s="195" t="s">
        <v>149</v>
      </c>
      <c r="O24" s="10" t="str">
        <f>'2022_DATI'!A23</f>
        <v>Aprilia</v>
      </c>
    </row>
    <row r="25" spans="1:15" x14ac:dyDescent="0.3">
      <c r="A25" s="10" t="str">
        <f>'2022_DATI'!A24</f>
        <v>Lodi</v>
      </c>
      <c r="B25" s="74">
        <f>'2022_DATI'!S24/'2022_DATI'!E24</f>
        <v>96.794007490636702</v>
      </c>
      <c r="C25" s="190" cm="1">
        <f t="array" ref="C25">_xlfn.IFS(I25&lt;1,SUM(D25:H25*'FUNZIONI UTILITA'!$G$9:$K$9),
AND(I25&gt;=1,I25&lt;2),SUM(D25:H25*'FUNZIONI UTILITA'!$G$10:$K34),
AND(I25&gt;=2,I25&lt;3),SUM(D25:H25*'FUNZIONI UTILITA'!$G$11:$K$11),
I25&gt;=3,SUM(D25:H25*'FUNZIONI UTILITA'!$G$12:$K$12))</f>
        <v>4.1910483995503727</v>
      </c>
      <c r="D25" s="75">
        <f>IFERROR(('2022_DATI'!V24+'2022_DATI'!Y24)/'2022_DATI'!W24,0)</f>
        <v>2.546569798134694E-2</v>
      </c>
      <c r="E25" s="76">
        <f>IFERROR('2022_DATI'!T24/'2022_DATI'!W24,0)</f>
        <v>2.546569798134694E-2</v>
      </c>
      <c r="F25" s="76">
        <f>'2022_DATI'!U24/'2022_DATI'!W24</f>
        <v>0</v>
      </c>
      <c r="G25" s="76">
        <f>'2022_DATI'!R24/'2022_DATI'!W24</f>
        <v>0.91417582141330855</v>
      </c>
      <c r="H25" s="77">
        <f>SUM('2022_DATI'!P24:Q24)/'2022_DATI'!W24</f>
        <v>0</v>
      </c>
      <c r="I25" s="194">
        <f>'2022_DATI'!C24</f>
        <v>3</v>
      </c>
      <c r="J25" s="60">
        <f>('2022_DATI'!S24-'2022_DATI'!AB24+'2022_DATI'!AD24)/('2022_DATI'!L24+0.2671*'2022_DATI'!M24)</f>
        <v>2.8230832167243976E-2</v>
      </c>
      <c r="K25" s="52">
        <f>IFERROR('2022_DATI'!Y24/'2022_DATI'!AE24,0)</f>
        <v>1</v>
      </c>
      <c r="L25" s="72">
        <f>IFERROR('2022_DATI'!AK24/('2022_DATI'!S24-'2022_DATI'!AC24),0)</f>
        <v>0</v>
      </c>
      <c r="M25" s="192">
        <f>IFERROR(35-'2022_DATI'!AL24,0)</f>
        <v>0</v>
      </c>
      <c r="N25" s="195" t="s">
        <v>149</v>
      </c>
      <c r="O25" s="10" t="str">
        <f>'2022_DATI'!A24</f>
        <v>Lodi</v>
      </c>
    </row>
    <row r="26" spans="1:15" x14ac:dyDescent="0.3">
      <c r="A26" s="10" t="str">
        <f>'2022_DATI'!A25</f>
        <v>Modugno</v>
      </c>
      <c r="B26" s="74">
        <f>'2022_DATI'!S25/'2022_DATI'!E25</f>
        <v>50.229629629629628</v>
      </c>
      <c r="C26" s="190" cm="1">
        <f t="array" ref="C26">_xlfn.IFS(I26&lt;1,SUM(D26:H26*'FUNZIONI UTILITA'!$G$9:$K$9),
AND(I26&gt;=1,I26&lt;2),SUM(D26:H26*'FUNZIONI UTILITA'!$G$10:$K35),
AND(I26&gt;=2,I26&lt;3),SUM(D26:H26*'FUNZIONI UTILITA'!$G$11:$K$11),
I26&gt;=3,SUM(D26:H26*'FUNZIONI UTILITA'!$G$12:$K$12))</f>
        <v>126.72846398550573</v>
      </c>
      <c r="D26" s="75">
        <f>IFERROR(('2022_DATI'!V25+'2022_DATI'!Y25)/'2022_DATI'!W25,0)</f>
        <v>0.96423831293319573</v>
      </c>
      <c r="E26" s="76">
        <f>IFERROR('2022_DATI'!T25/'2022_DATI'!W25,0)</f>
        <v>0</v>
      </c>
      <c r="F26" s="76">
        <f>'2022_DATI'!U25/'2022_DATI'!W25</f>
        <v>0</v>
      </c>
      <c r="G26" s="76">
        <f>'2022_DATI'!R25/'2022_DATI'!W25</f>
        <v>0.96423831293319573</v>
      </c>
      <c r="H26" s="77">
        <f>SUM('2022_DATI'!P25:Q25)/'2022_DATI'!W25</f>
        <v>0</v>
      </c>
      <c r="I26" s="194">
        <f>'2022_DATI'!C25</f>
        <v>2</v>
      </c>
      <c r="J26" s="60">
        <f>('2022_DATI'!S25-'2022_DATI'!AB25+'2022_DATI'!AD25)/('2022_DATI'!L25+0.2671*'2022_DATI'!M25)</f>
        <v>3.6114323857236313E-2</v>
      </c>
      <c r="K26" s="52">
        <f>IFERROR('2022_DATI'!Y25/'2022_DATI'!AE25,0)</f>
        <v>1</v>
      </c>
      <c r="L26" s="72">
        <f>IFERROR('2022_DATI'!AK25/('2022_DATI'!S25-'2022_DATI'!AC25),0)</f>
        <v>0</v>
      </c>
      <c r="M26" s="192">
        <f>IFERROR(35-'2022_DATI'!AL25,0)</f>
        <v>0</v>
      </c>
      <c r="N26" s="195" t="s">
        <v>149</v>
      </c>
      <c r="O26" s="10" t="str">
        <f>'2022_DATI'!A25</f>
        <v>Modugno</v>
      </c>
    </row>
    <row r="27" spans="1:15" x14ac:dyDescent="0.3">
      <c r="A27" s="10" t="str">
        <f>'2022_DATI'!A26</f>
        <v>Termoli</v>
      </c>
      <c r="B27" s="78">
        <f>'2022_DATI'!S26/'2022_DATI'!E26</f>
        <v>1611.7623376623376</v>
      </c>
      <c r="C27" s="196" cm="1">
        <f t="array" ref="C27">_xlfn.IFS(I27&lt;1,SUM(D27:H27*'FUNZIONI UTILITA'!$G$9:$K$9),
AND(I27&gt;=1,I27&lt;2),SUM(D27:H27*'FUNZIONI UTILITA'!$G$10:$K36),
AND(I27&gt;=2,I27&lt;3),SUM(D27:H27*'FUNZIONI UTILITA'!$G$11:$K$11),
I27&gt;=3,SUM(D27:H27*'FUNZIONI UTILITA'!$G$12:$K$12))</f>
        <v>-8.5676299661152893</v>
      </c>
      <c r="D27" s="79">
        <f>IFERROR(('2022_DATI'!V26+'2022_DATI'!Y26)/'2022_DATI'!W26,0)</f>
        <v>0</v>
      </c>
      <c r="E27" s="80">
        <f>IFERROR('2022_DATI'!T26/'2022_DATI'!W26,0)</f>
        <v>0</v>
      </c>
      <c r="F27" s="80">
        <f>'2022_DATI'!U26/'2022_DATI'!W26</f>
        <v>0</v>
      </c>
      <c r="G27" s="80">
        <f>'2022_DATI'!R26/'2022_DATI'!W26</f>
        <v>0</v>
      </c>
      <c r="H27" s="81">
        <f>SUM('2022_DATI'!P26:Q26)/'2022_DATI'!W26</f>
        <v>0.99955682938011714</v>
      </c>
      <c r="I27" s="197">
        <f>'2022_DATI'!C26</f>
        <v>2</v>
      </c>
      <c r="J27" s="61">
        <f>('2022_DATI'!S26-'2022_DATI'!AB26+'2022_DATI'!AD26)/('2022_DATI'!L26+0.2671*'2022_DATI'!M26)</f>
        <v>1.1848251961888761</v>
      </c>
      <c r="K27" s="56">
        <f>IFERROR('2022_DATI'!Y26/'2022_DATI'!AE26,0)</f>
        <v>0</v>
      </c>
      <c r="L27" s="73">
        <f>IFERROR('2022_DATI'!AK26/('2022_DATI'!S26-'2022_DATI'!AC26),0)</f>
        <v>0.25893734131470192</v>
      </c>
      <c r="M27" s="198">
        <f>IFERROR(35-'2022_DATI'!AL26,0)</f>
        <v>14.850000000000001</v>
      </c>
      <c r="N27" s="199" t="s">
        <v>149</v>
      </c>
      <c r="O27" s="10" t="str">
        <f>'2022_DATI'!A26</f>
        <v>Termoli</v>
      </c>
    </row>
    <row r="28" spans="1:15" x14ac:dyDescent="0.3">
      <c r="A28" s="239" t="str">
        <f>'2022_DATI'!A27</f>
        <v>NOME IMPIANTO</v>
      </c>
      <c r="B28" s="78" t="e">
        <f>'2022_DATI'!S27/'2022_DATI'!E27</f>
        <v>#DIV/0!</v>
      </c>
      <c r="C28" s="196" t="e" cm="1">
        <f t="array" ref="C28">_xlfn.IFS(I28&lt;1,SUM(D28:H28*'FUNZIONI UTILITA'!$G$9:$K$9),
AND(I28&gt;=1,I28&lt;2),SUM(D28:H28*'FUNZIONI UTILITA'!$G$10:$K37),
AND(I28&gt;=2,I28&lt;3),SUM(D28:H28*'FUNZIONI UTILITA'!$G$11:$K$11),
I28&gt;=3,SUM(D28:H28*'FUNZIONI UTILITA'!$G$12:$K$12))</f>
        <v>#DIV/0!</v>
      </c>
      <c r="D28" s="79">
        <f>IFERROR(('2022_DATI'!V27+'2022_DATI'!Y27)/'2022_DATI'!W27,0)</f>
        <v>0</v>
      </c>
      <c r="E28" s="80">
        <f>IFERROR('2022_DATI'!T27/'2022_DATI'!W27,0)</f>
        <v>0</v>
      </c>
      <c r="F28" s="80" t="e">
        <f>'2022_DATI'!U27/'2022_DATI'!W27</f>
        <v>#DIV/0!</v>
      </c>
      <c r="G28" s="80" t="e">
        <f>'2022_DATI'!R27/'2022_DATI'!W27</f>
        <v>#DIV/0!</v>
      </c>
      <c r="H28" s="81" t="e">
        <f>SUM('2022_DATI'!P27:Q27)/'2022_DATI'!W27</f>
        <v>#DIV/0!</v>
      </c>
      <c r="I28" s="197">
        <f>'2022_DATI'!C27</f>
        <v>0</v>
      </c>
      <c r="J28" s="61" t="e">
        <f>('2022_DATI'!S27-'2022_DATI'!AB27+'2022_DATI'!AD27)/('2022_DATI'!L27+0.2671*'2022_DATI'!M27)</f>
        <v>#DIV/0!</v>
      </c>
      <c r="K28" s="56">
        <f>IFERROR('2022_DATI'!Y27/'2022_DATI'!AE27,0)</f>
        <v>0</v>
      </c>
      <c r="L28" s="73">
        <f>IFERROR('2022_DATI'!AK27/('2022_DATI'!S27-'2022_DATI'!AC27),0)</f>
        <v>0</v>
      </c>
      <c r="M28" s="198">
        <f>IFERROR(35-'2022_DATI'!AL27,0)</f>
        <v>35</v>
      </c>
      <c r="N28" s="199" t="s">
        <v>149</v>
      </c>
      <c r="O28" s="239" t="str">
        <f>'2022_DATI'!A27</f>
        <v>NOME IMPIANTO</v>
      </c>
    </row>
    <row r="32" spans="1:15" x14ac:dyDescent="0.3">
      <c r="A32" t="s">
        <v>153</v>
      </c>
      <c r="B32" t="s">
        <v>208</v>
      </c>
      <c r="C32" t="s">
        <v>209</v>
      </c>
      <c r="J32" t="s">
        <v>210</v>
      </c>
      <c r="K32" t="s">
        <v>211</v>
      </c>
      <c r="L32" t="s">
        <v>212</v>
      </c>
      <c r="M32" t="s">
        <v>213</v>
      </c>
      <c r="N32" t="s">
        <v>214</v>
      </c>
    </row>
    <row r="33" spans="1:15" ht="45.1" x14ac:dyDescent="0.3">
      <c r="A33" t="s">
        <v>152</v>
      </c>
      <c r="B33" s="170" t="s">
        <v>207</v>
      </c>
      <c r="C33" s="170" t="s">
        <v>193</v>
      </c>
      <c r="D33" s="220"/>
      <c r="E33" s="221"/>
      <c r="F33" s="221"/>
      <c r="G33" s="221"/>
      <c r="H33" s="221"/>
      <c r="I33" s="222"/>
      <c r="J33" s="172" t="s">
        <v>199</v>
      </c>
      <c r="K33" s="172" t="s">
        <v>200</v>
      </c>
      <c r="L33" s="174" t="s">
        <v>201</v>
      </c>
      <c r="M33" s="174" t="s">
        <v>216</v>
      </c>
      <c r="N33" s="173" t="s">
        <v>203</v>
      </c>
      <c r="O33" s="200" t="s">
        <v>152</v>
      </c>
    </row>
    <row r="34" spans="1:15" x14ac:dyDescent="0.3">
      <c r="A34" s="3" t="str">
        <f>'2022_DATI'!A3</f>
        <v>Cassano</v>
      </c>
      <c r="B34" s="201" cm="1">
        <f t="array" ref="B34">_xlfn.IFS(B4&lt;='FUNZIONI UTILITA'!$B$4,B4*'FUNZIONI UTILITA'!$E$4+'FUNZIONI UTILITA'!$F$4,
AND(B4&gt;'FUNZIONI UTILITA'!$B$4,B4&lt;='FUNZIONI UTILITA'!$B$5),B4*'FUNZIONI UTILITA'!$E$5+'FUNZIONI UTILITA'!$F$5,
AND(B4&gt;'FUNZIONI UTILITA'!$B$5,B4&lt;='FUNZIONI UTILITA'!$B$6),B4*'FUNZIONI UTILITA'!$E$6+'FUNZIONI UTILITA'!$F$6,
AND(B4&gt;'FUNZIONI UTILITA'!$B$6,B4&lt;='FUNZIONI UTILITA'!$B$7),B4*'FUNZIONI UTILITA'!$E$7+'FUNZIONI UTILITA'!$F$7,
B4&gt;'FUNZIONI UTILITA'!$B$7,B4*'FUNZIONI UTILITA'!$E$8+'FUNZIONI UTILITA'!$F$8)</f>
        <v>9.400340914793258</v>
      </c>
      <c r="C34" s="202">
        <f>C4</f>
        <v>-12.835695503587226</v>
      </c>
      <c r="D34" s="58"/>
      <c r="E34" s="58"/>
      <c r="F34" s="58"/>
      <c r="G34" s="58"/>
      <c r="H34" s="58"/>
      <c r="I34" s="58"/>
      <c r="J34" s="203" cm="1">
        <f t="array" ref="J34">_xlfn.IFS(J4&lt;='FUNZIONI UTILITA'!$M$4,J4*'FUNZIONI UTILITA'!$P$4+'FUNZIONI UTILITA'!$Q$4,
AND(J4&gt;'FUNZIONI UTILITA'!$M$4,J4&lt;='FUNZIONI UTILITA'!$M$5),J4*'FUNZIONI UTILITA'!$P$5+'FUNZIONI UTILITA'!$Q$5,
AND(J4&gt;'FUNZIONI UTILITA'!$M$5,J4&lt;='FUNZIONI UTILITA'!$M$6),J4*'FUNZIONI UTILITA'!$P$6+'FUNZIONI UTILITA'!$Q$6,
AND(J4&gt;'FUNZIONI UTILITA'!$M$6,J4&lt;='FUNZIONI UTILITA'!$M$7),J4*'FUNZIONI UTILITA'!$P$7+'FUNZIONI UTILITA'!$Q$7,
J4&gt;'FUNZIONI UTILITA'!$M$7,J4*'FUNZIONI UTILITA'!$P$8+'FUNZIONI UTILITA'!$Q$8)</f>
        <v>87.85490935847281</v>
      </c>
      <c r="K34" s="58">
        <f>K4*100</f>
        <v>0</v>
      </c>
      <c r="L34" s="204" cm="1">
        <f t="array" ref="L34">_xlfn.IFS(L4&lt;'FUNZIONI UTILITA'!$T$3,'FUNZIONI UTILITA'!U3,
AND(L4&lt;'FUNZIONI UTILITA'!$T$4,L4&gt;='FUNZIONI UTILITA'!$T$3),L4*'FUNZIONI UTILITA'!$W$4+'FUNZIONI UTILITA'!$X$4,
AND(L4&lt;'FUNZIONI UTILITA'!$T$5,L4&gt;='FUNZIONI UTILITA'!$T$4),L4*'FUNZIONI UTILITA'!$W$5+'FUNZIONI UTILITA'!$X$5,
AND(L4&lt;'FUNZIONI UTILITA'!$T$6,L4&gt;='FUNZIONI UTILITA'!$T$5),L4*'FUNZIONI UTILITA'!$W$6+'FUNZIONI UTILITA'!$X$6,
L4&gt;='FUNZIONI UTILITA'!$T$6,L4*'FUNZIONI UTILITA'!$W$7+'FUNZIONI UTILITA'!$X$7)</f>
        <v>22.120658127659752</v>
      </c>
      <c r="M34" s="58" cm="1">
        <f t="array" ref="M34">IFERROR(_xlfn.IFS(M4&lt;='FUNZIONI UTILITA'!$Y$3,'FUNZIONI UTILITA'!$AA$3,AND(M4&lt;='FUNZIONI UTILITA'!$Y$4,M4&gt;'FUNZIONI UTILITA'!$Y$3),'FUNZIONI UTILITA'!$AA$4,
AND(M4&lt;='FUNZIONI UTILITA'!$Y$5,M4&gt;'FUNZIONI UTILITA'!$Y$4),'FUNZIONI UTILITA'!$AA$5,
AND(M4&lt;='FUNZIONI UTILITA'!$Y$6,M4&gt;'FUNZIONI UTILITA'!$Y$5),'FUNZIONI UTILITA'!$AA$6,
M4&gt;'FUNZIONI UTILITA'!$Y$7,'FUNZIONI UTILITA'!$AA$7),0)</f>
        <v>80</v>
      </c>
      <c r="N34" s="205" cm="1">
        <f t="array" ref="N34">IFERROR(_xlfn.IFS(N4='FUNZIONI UTILITA'!$AB$3,'FUNZIONI UTILITA'!$AC$3,
N4='FUNZIONI UTILITA'!$AB$4,'FUNZIONI UTILITA'!$AC$4,
N4='FUNZIONI UTILITA'!$AB$5,'FUNZIONI UTILITA'!$AC$5,
N4='FUNZIONI UTILITA'!$AB$6,'FUNZIONI UTILITA'!$AC$6,
N4='FUNZIONI UTILITA'!$AB$7,'FUNZIONI UTILITA'!$AC$7,
N4&gt;='FUNZIONI UTILITA'!$AB$8,'FUNZIONI UTILITA'!$AC$8),0)</f>
        <v>0</v>
      </c>
      <c r="O34" s="3" t="str">
        <f>'2022_DATI'!A3</f>
        <v>Cassano</v>
      </c>
    </row>
    <row r="35" spans="1:15" x14ac:dyDescent="0.3">
      <c r="A35" s="3" t="str">
        <f>'2022_DATI'!A4</f>
        <v>Chivasso</v>
      </c>
      <c r="B35" s="185" cm="1">
        <f t="array" ref="B35">_xlfn.IFS(B5&lt;='FUNZIONI UTILITA'!$B$4,B5*'FUNZIONI UTILITA'!$E$4+'FUNZIONI UTILITA'!$F$4,
AND(B5&gt;'FUNZIONI UTILITA'!$B$4,B5&lt;='FUNZIONI UTILITA'!$B$5),B5*'FUNZIONI UTILITA'!$E$5+'FUNZIONI UTILITA'!$F$5,
AND(B5&gt;'FUNZIONI UTILITA'!$B$5,B5&lt;='FUNZIONI UTILITA'!$B$6),B5*'FUNZIONI UTILITA'!$E$6+'FUNZIONI UTILITA'!$F$6,
AND(B5&gt;'FUNZIONI UTILITA'!$B$6,B5&lt;='FUNZIONI UTILITA'!$B$7),B5*'FUNZIONI UTILITA'!$E$7+'FUNZIONI UTILITA'!$F$7,
B5&gt;'FUNZIONI UTILITA'!$B$7,B5*'FUNZIONI UTILITA'!$E$8+'FUNZIONI UTILITA'!$F$8)</f>
        <v>14.467347004592444</v>
      </c>
      <c r="C35" s="186">
        <f>C5</f>
        <v>-12.786567568802454</v>
      </c>
      <c r="J35" s="18" cm="1">
        <f t="array" ref="J35">_xlfn.IFS(J5&lt;='FUNZIONI UTILITA'!$M$4,J5*'FUNZIONI UTILITA'!$P$4+'FUNZIONI UTILITA'!$Q$4,
AND(J5&gt;'FUNZIONI UTILITA'!$M$4,J5&lt;='FUNZIONI UTILITA'!$M$5),J5*'FUNZIONI UTILITA'!$P$5+'FUNZIONI UTILITA'!$Q$5,
AND(J5&gt;'FUNZIONI UTILITA'!$M$5,J5&lt;='FUNZIONI UTILITA'!$M$6),J5*'FUNZIONI UTILITA'!$P$6+'FUNZIONI UTILITA'!$Q$6,
AND(J5&gt;'FUNZIONI UTILITA'!$M$6,J5&lt;='FUNZIONI UTILITA'!$M$7),J5*'FUNZIONI UTILITA'!$P$7+'FUNZIONI UTILITA'!$Q$7,
J5&gt;'FUNZIONI UTILITA'!$M$7,J5*'FUNZIONI UTILITA'!$P$8+'FUNZIONI UTILITA'!$Q$8)</f>
        <v>89.659199432729963</v>
      </c>
      <c r="K35" s="206">
        <f>K5*100</f>
        <v>48.717728711436528</v>
      </c>
      <c r="L35" s="187" cm="1">
        <f t="array" ref="L35">_xlfn.IFS(L5&lt;'FUNZIONI UTILITA'!$T$3,'FUNZIONI UTILITA'!U4,
AND(L5&lt;'FUNZIONI UTILITA'!$T$4,L5&gt;='FUNZIONI UTILITA'!$T$3),L5*'FUNZIONI UTILITA'!$W$4+'FUNZIONI UTILITA'!$X$4,
AND(L5&lt;'FUNZIONI UTILITA'!$T$5,L5&gt;='FUNZIONI UTILITA'!$T$4),L5*'FUNZIONI UTILITA'!$W$5+'FUNZIONI UTILITA'!$X$5,
AND(L5&lt;'FUNZIONI UTILITA'!$T$6,L5&gt;='FUNZIONI UTILITA'!$T$5),L5*'FUNZIONI UTILITA'!$W$6+'FUNZIONI UTILITA'!$X$6,
L5&gt;='FUNZIONI UTILITA'!$T$6,L5*'FUNZIONI UTILITA'!$W$7+'FUNZIONI UTILITA'!$X$7)</f>
        <v>34.240778709501924</v>
      </c>
      <c r="M35" cm="1">
        <f t="array" ref="M35">IFERROR(_xlfn.IFS(M5&lt;='FUNZIONI UTILITA'!$Y$3,'FUNZIONI UTILITA'!$AA$3,AND(M5&lt;='FUNZIONI UTILITA'!$Y$4,M5&gt;'FUNZIONI UTILITA'!$Y$3),'FUNZIONI UTILITA'!$AA$4,
AND(M5&lt;='FUNZIONI UTILITA'!$Y$5,M5&gt;'FUNZIONI UTILITA'!$Y$4),'FUNZIONI UTILITA'!$AA$5,
AND(M5&lt;='FUNZIONI UTILITA'!$Y$6,M5&gt;'FUNZIONI UTILITA'!$Y$5),'FUNZIONI UTILITA'!$AA$6,
M5&gt;'FUNZIONI UTILITA'!$Y$7,'FUNZIONI UTILITA'!$AA$7),0)</f>
        <v>0</v>
      </c>
      <c r="N35" s="22" cm="1">
        <f t="array" ref="N35">IFERROR(_xlfn.IFS(N5='FUNZIONI UTILITA'!$AB$3,'FUNZIONI UTILITA'!$AC$3,
N5='FUNZIONI UTILITA'!$AB$4,'FUNZIONI UTILITA'!$AC$4,
N5='FUNZIONI UTILITA'!$AB$5,'FUNZIONI UTILITA'!$AC$5,
N5='FUNZIONI UTILITA'!$AB$6,'FUNZIONI UTILITA'!$AC$6,
N5='FUNZIONI UTILITA'!$AB$7,'FUNZIONI UTILITA'!$AC$7,
N5&gt;='FUNZIONI UTILITA'!$AB$8,'FUNZIONI UTILITA'!$AC$8),0)</f>
        <v>0</v>
      </c>
      <c r="O35" s="3" t="str">
        <f>'2022_DATI'!A4</f>
        <v>Chivasso</v>
      </c>
    </row>
    <row r="36" spans="1:15" x14ac:dyDescent="0.3">
      <c r="A36" s="3" t="str">
        <f>'2022_DATI'!A5</f>
        <v>Gissi</v>
      </c>
      <c r="B36" s="185" cm="1">
        <f t="array" ref="B36">_xlfn.IFS(B6&lt;='FUNZIONI UTILITA'!$B$4,B6*'FUNZIONI UTILITA'!$E$4+'FUNZIONI UTILITA'!$F$4,
AND(B6&gt;'FUNZIONI UTILITA'!$B$4,B6&lt;='FUNZIONI UTILITA'!$B$5),B6*'FUNZIONI UTILITA'!$E$5+'FUNZIONI UTILITA'!$F$5,
AND(B6&gt;'FUNZIONI UTILITA'!$B$5,B6&lt;='FUNZIONI UTILITA'!$B$6),B6*'FUNZIONI UTILITA'!$E$6+'FUNZIONI UTILITA'!$F$6,
AND(B6&gt;'FUNZIONI UTILITA'!$B$6,B6&lt;='FUNZIONI UTILITA'!$B$7),B6*'FUNZIONI UTILITA'!$E$7+'FUNZIONI UTILITA'!$F$7,
B6&gt;'FUNZIONI UTILITA'!$B$7,B6*'FUNZIONI UTILITA'!$E$8+'FUNZIONI UTILITA'!$F$8)</f>
        <v>98.187678571428577</v>
      </c>
      <c r="C36" s="186">
        <f>C6</f>
        <v>90.329360100376419</v>
      </c>
      <c r="J36" s="18" cm="1">
        <f t="array" ref="J36">_xlfn.IFS(J6&lt;='FUNZIONI UTILITA'!$M$4,J6*'FUNZIONI UTILITA'!$P$4+'FUNZIONI UTILITA'!$Q$4,
AND(J6&gt;'FUNZIONI UTILITA'!$M$4,J6&lt;='FUNZIONI UTILITA'!$M$5),J6*'FUNZIONI UTILITA'!$P$5+'FUNZIONI UTILITA'!$Q$5,
AND(J6&gt;'FUNZIONI UTILITA'!$M$5,J6&lt;='FUNZIONI UTILITA'!$M$6),J6*'FUNZIONI UTILITA'!$P$6+'FUNZIONI UTILITA'!$Q$6,
AND(J6&gt;'FUNZIONI UTILITA'!$M$6,J6&lt;='FUNZIONI UTILITA'!$M$7),J6*'FUNZIONI UTILITA'!$P$7+'FUNZIONI UTILITA'!$Q$7,
J6&gt;'FUNZIONI UTILITA'!$M$7,J6*'FUNZIONI UTILITA'!$P$8+'FUNZIONI UTILITA'!$Q$8)</f>
        <v>99.477232116872543</v>
      </c>
      <c r="K36">
        <f>K6*100</f>
        <v>0</v>
      </c>
      <c r="L36" s="187" cm="1">
        <f t="array" ref="L36">_xlfn.IFS(L6&lt;'FUNZIONI UTILITA'!$T$3,'FUNZIONI UTILITA'!U5,
AND(L6&lt;'FUNZIONI UTILITA'!$T$4,L6&gt;='FUNZIONI UTILITA'!$T$3),L6*'FUNZIONI UTILITA'!$W$4+'FUNZIONI UTILITA'!$X$4,
AND(L6&lt;'FUNZIONI UTILITA'!$T$5,L6&gt;='FUNZIONI UTILITA'!$T$4),L6*'FUNZIONI UTILITA'!$W$5+'FUNZIONI UTILITA'!$X$5,
AND(L6&lt;'FUNZIONI UTILITA'!$T$6,L6&gt;='FUNZIONI UTILITA'!$T$5),L6*'FUNZIONI UTILITA'!$W$6+'FUNZIONI UTILITA'!$X$6,
L6&gt;='FUNZIONI UTILITA'!$T$6,L6*'FUNZIONI UTILITA'!$W$7+'FUNZIONI UTILITA'!$X$7)</f>
        <v>100</v>
      </c>
      <c r="M36" cm="1">
        <f t="array" ref="M36">IFERROR(_xlfn.IFS(M6&lt;='FUNZIONI UTILITA'!$Y$3,'FUNZIONI UTILITA'!$AA$3,AND(M6&lt;='FUNZIONI UTILITA'!$Y$4,M6&gt;'FUNZIONI UTILITA'!$Y$3),'FUNZIONI UTILITA'!$AA$4,
AND(M6&lt;='FUNZIONI UTILITA'!$Y$5,M6&gt;'FUNZIONI UTILITA'!$Y$4),'FUNZIONI UTILITA'!$AA$5,
AND(M6&lt;='FUNZIONI UTILITA'!$Y$6,M6&gt;'FUNZIONI UTILITA'!$Y$5),'FUNZIONI UTILITA'!$AA$6,
M6&gt;'FUNZIONI UTILITA'!$Y$7,'FUNZIONI UTILITA'!$AA$7),0)</f>
        <v>80</v>
      </c>
      <c r="N36" s="22" cm="1">
        <f t="array" ref="N36">IFERROR(_xlfn.IFS(N6='FUNZIONI UTILITA'!$AB$3,'FUNZIONI UTILITA'!$AC$3,
N6='FUNZIONI UTILITA'!$AB$4,'FUNZIONI UTILITA'!$AC$4,
N6='FUNZIONI UTILITA'!$AB$5,'FUNZIONI UTILITA'!$AC$5,
N6='FUNZIONI UTILITA'!$AB$6,'FUNZIONI UTILITA'!$AC$6,
N6='FUNZIONI UTILITA'!$AB$7,'FUNZIONI UTILITA'!$AC$7,
N6&gt;='FUNZIONI UTILITA'!$AB$8,'FUNZIONI UTILITA'!$AC$8),0)</f>
        <v>0</v>
      </c>
      <c r="O36" s="3" t="str">
        <f>'2022_DATI'!A5</f>
        <v>Gissi</v>
      </c>
    </row>
    <row r="37" spans="1:15" x14ac:dyDescent="0.3">
      <c r="A37" s="3" t="str">
        <f>'2022_DATI'!A6</f>
        <v>Mincio</v>
      </c>
      <c r="B37" s="185" cm="1">
        <f t="array" ref="B37">_xlfn.IFS(B7&lt;='FUNZIONI UTILITA'!$B$4,B7*'FUNZIONI UTILITA'!$E$4+'FUNZIONI UTILITA'!$F$4,
AND(B7&gt;'FUNZIONI UTILITA'!$B$4,B7&lt;='FUNZIONI UTILITA'!$B$5),B7*'FUNZIONI UTILITA'!$E$5+'FUNZIONI UTILITA'!$F$5,
AND(B7&gt;'FUNZIONI UTILITA'!$B$5,B7&lt;='FUNZIONI UTILITA'!$B$6),B7*'FUNZIONI UTILITA'!$E$6+'FUNZIONI UTILITA'!$F$6,
AND(B7&gt;'FUNZIONI UTILITA'!$B$6,B7&lt;='FUNZIONI UTILITA'!$B$7),B7*'FUNZIONI UTILITA'!$E$7+'FUNZIONI UTILITA'!$F$7,
B7&gt;'FUNZIONI UTILITA'!$B$7,B7*'FUNZIONI UTILITA'!$E$8+'FUNZIONI UTILITA'!$F$8)</f>
        <v>15.823477043673012</v>
      </c>
      <c r="C37" s="186">
        <f>C7</f>
        <v>-12.856960885394514</v>
      </c>
      <c r="J37" s="18" cm="1">
        <f t="array" ref="J37">_xlfn.IFS(J7&lt;='FUNZIONI UTILITA'!$M$4,J7*'FUNZIONI UTILITA'!$P$4+'FUNZIONI UTILITA'!$Q$4,
AND(J7&gt;'FUNZIONI UTILITA'!$M$4,J7&lt;='FUNZIONI UTILITA'!$M$5),J7*'FUNZIONI UTILITA'!$P$5+'FUNZIONI UTILITA'!$Q$5,
AND(J7&gt;'FUNZIONI UTILITA'!$M$5,J7&lt;='FUNZIONI UTILITA'!$M$6),J7*'FUNZIONI UTILITA'!$P$6+'FUNZIONI UTILITA'!$Q$6,
AND(J7&gt;'FUNZIONI UTILITA'!$M$6,J7&lt;='FUNZIONI UTILITA'!$M$7),J7*'FUNZIONI UTILITA'!$P$7+'FUNZIONI UTILITA'!$Q$7,
J7&gt;'FUNZIONI UTILITA'!$M$7,J7*'FUNZIONI UTILITA'!$P$8+'FUNZIONI UTILITA'!$Q$8)</f>
        <v>99.888359590507307</v>
      </c>
      <c r="K37">
        <f>K7*100</f>
        <v>0</v>
      </c>
      <c r="L37" s="187" cm="1">
        <f t="array" ref="L37">_xlfn.IFS(L7&lt;'FUNZIONI UTILITA'!$T$3,'FUNZIONI UTILITA'!U6,
AND(L7&lt;'FUNZIONI UTILITA'!$T$4,L7&gt;='FUNZIONI UTILITA'!$T$3),L7*'FUNZIONI UTILITA'!$W$4+'FUNZIONI UTILITA'!$X$4,
AND(L7&lt;'FUNZIONI UTILITA'!$T$5,L7&gt;='FUNZIONI UTILITA'!$T$4),L7*'FUNZIONI UTILITA'!$W$5+'FUNZIONI UTILITA'!$X$5,
AND(L7&lt;'FUNZIONI UTILITA'!$T$6,L7&gt;='FUNZIONI UTILITA'!$T$5),L7*'FUNZIONI UTILITA'!$W$6+'FUNZIONI UTILITA'!$X$6,
L7&gt;='FUNZIONI UTILITA'!$T$6,L7*'FUNZIONI UTILITA'!$W$7+'FUNZIONI UTILITA'!$X$7)</f>
        <v>100</v>
      </c>
      <c r="M37" cm="1">
        <f t="array" ref="M37">IFERROR(_xlfn.IFS(M7&lt;='FUNZIONI UTILITA'!$Y$3,'FUNZIONI UTILITA'!$AA$3,AND(M7&lt;='FUNZIONI UTILITA'!$Y$4,M7&gt;'FUNZIONI UTILITA'!$Y$3),'FUNZIONI UTILITA'!$AA$4,
AND(M7&lt;='FUNZIONI UTILITA'!$Y$5,M7&gt;'FUNZIONI UTILITA'!$Y$4),'FUNZIONI UTILITA'!$AA$5,
AND(M7&lt;='FUNZIONI UTILITA'!$Y$6,M7&gt;'FUNZIONI UTILITA'!$Y$5),'FUNZIONI UTILITA'!$AA$6,
M7&gt;'FUNZIONI UTILITA'!$Y$7,'FUNZIONI UTILITA'!$AA$7),0)</f>
        <v>0</v>
      </c>
      <c r="N37" s="22" cm="1">
        <f t="array" ref="N37">IFERROR(_xlfn.IFS(N7='FUNZIONI UTILITA'!$AB$3,'FUNZIONI UTILITA'!$AC$3,
N7='FUNZIONI UTILITA'!$AB$4,'FUNZIONI UTILITA'!$AC$4,
N7='FUNZIONI UTILITA'!$AB$5,'FUNZIONI UTILITA'!$AC$5,
N7='FUNZIONI UTILITA'!$AB$6,'FUNZIONI UTILITA'!$AC$6,
N7='FUNZIONI UTILITA'!$AB$7,'FUNZIONI UTILITA'!$AC$7,
N7&gt;='FUNZIONI UTILITA'!$AB$8,'FUNZIONI UTILITA'!$AC$8),0)</f>
        <v>0</v>
      </c>
      <c r="O37" s="3" t="str">
        <f>'2022_DATI'!A6</f>
        <v>Mincio</v>
      </c>
    </row>
    <row r="38" spans="1:15" x14ac:dyDescent="0.3">
      <c r="A38" s="3" t="str">
        <f>'2022_DATI'!A7</f>
        <v>Monfalcone</v>
      </c>
      <c r="B38" s="185" cm="1">
        <f t="array" ref="B38">_xlfn.IFS(B8&lt;='FUNZIONI UTILITA'!$B$4,B8*'FUNZIONI UTILITA'!$E$4+'FUNZIONI UTILITA'!$F$4,
AND(B8&gt;'FUNZIONI UTILITA'!$B$4,B8&lt;='FUNZIONI UTILITA'!$B$5),B8*'FUNZIONI UTILITA'!$E$5+'FUNZIONI UTILITA'!$F$5,
AND(B8&gt;'FUNZIONI UTILITA'!$B$5,B8&lt;='FUNZIONI UTILITA'!$B$6),B8*'FUNZIONI UTILITA'!$E$6+'FUNZIONI UTILITA'!$F$6,
AND(B8&gt;'FUNZIONI UTILITA'!$B$6,B8&lt;='FUNZIONI UTILITA'!$B$7),B8*'FUNZIONI UTILITA'!$E$7+'FUNZIONI UTILITA'!$F$7,
B8&gt;'FUNZIONI UTILITA'!$B$7,B8*'FUNZIONI UTILITA'!$E$8+'FUNZIONI UTILITA'!$F$8)</f>
        <v>65.868794326241144</v>
      </c>
      <c r="C38" s="186">
        <f>C8</f>
        <v>95.872391515942368</v>
      </c>
      <c r="J38" s="18" cm="1">
        <f t="array" ref="J38">_xlfn.IFS(J8&lt;='FUNZIONI UTILITA'!$M$4,J8*'FUNZIONI UTILITA'!$P$4+'FUNZIONI UTILITA'!$Q$4,
AND(J8&gt;'FUNZIONI UTILITA'!$M$4,J8&lt;='FUNZIONI UTILITA'!$M$5),J8*'FUNZIONI UTILITA'!$P$5+'FUNZIONI UTILITA'!$Q$5,
AND(J8&gt;'FUNZIONI UTILITA'!$M$5,J8&lt;='FUNZIONI UTILITA'!$M$6),J8*'FUNZIONI UTILITA'!$P$6+'FUNZIONI UTILITA'!$Q$6,
AND(J8&gt;'FUNZIONI UTILITA'!$M$6,J8&lt;='FUNZIONI UTILITA'!$M$7),J8*'FUNZIONI UTILITA'!$P$7+'FUNZIONI UTILITA'!$Q$7,
J8&gt;'FUNZIONI UTILITA'!$M$7,J8*'FUNZIONI UTILITA'!$P$8+'FUNZIONI UTILITA'!$Q$8)</f>
        <v>71.140289096823963</v>
      </c>
      <c r="K38">
        <f>K8*100</f>
        <v>0</v>
      </c>
      <c r="L38" s="187" cm="1">
        <f t="array" ref="L38">_xlfn.IFS(L8&lt;'FUNZIONI UTILITA'!$T$3,'FUNZIONI UTILITA'!U7,
AND(L8&lt;'FUNZIONI UTILITA'!$T$4,L8&gt;='FUNZIONI UTILITA'!$T$3),L8*'FUNZIONI UTILITA'!$W$4+'FUNZIONI UTILITA'!$X$4,
AND(L8&lt;'FUNZIONI UTILITA'!$T$5,L8&gt;='FUNZIONI UTILITA'!$T$4),L8*'FUNZIONI UTILITA'!$W$5+'FUNZIONI UTILITA'!$X$5,
AND(L8&lt;'FUNZIONI UTILITA'!$T$6,L8&gt;='FUNZIONI UTILITA'!$T$5),L8*'FUNZIONI UTILITA'!$W$6+'FUNZIONI UTILITA'!$X$6,
L8&gt;='FUNZIONI UTILITA'!$T$6,L8*'FUNZIONI UTILITA'!$W$7+'FUNZIONI UTILITA'!$X$7)</f>
        <v>18.521794463888</v>
      </c>
      <c r="M38" cm="1">
        <f t="array" ref="M38">IFERROR(_xlfn.IFS(M8&lt;='FUNZIONI UTILITA'!$Y$3,'FUNZIONI UTILITA'!$AA$3,AND(M8&lt;='FUNZIONI UTILITA'!$Y$4,M8&gt;'FUNZIONI UTILITA'!$Y$3),'FUNZIONI UTILITA'!$AA$4,
AND(M8&lt;='FUNZIONI UTILITA'!$Y$5,M8&gt;'FUNZIONI UTILITA'!$Y$4),'FUNZIONI UTILITA'!$AA$5,
AND(M8&lt;='FUNZIONI UTILITA'!$Y$6,M8&gt;'FUNZIONI UTILITA'!$Y$5),'FUNZIONI UTILITA'!$AA$6,
M8&gt;'FUNZIONI UTILITA'!$Y$7,'FUNZIONI UTILITA'!$AA$7),0)</f>
        <v>0</v>
      </c>
      <c r="N38" s="22" cm="1">
        <f t="array" ref="N38">IFERROR(_xlfn.IFS(N8='FUNZIONI UTILITA'!$AB$3,'FUNZIONI UTILITA'!$AC$3,
N8='FUNZIONI UTILITA'!$AB$4,'FUNZIONI UTILITA'!$AC$4,
N8='FUNZIONI UTILITA'!$AB$5,'FUNZIONI UTILITA'!$AC$5,
N8='FUNZIONI UTILITA'!$AB$6,'FUNZIONI UTILITA'!$AC$6,
N8='FUNZIONI UTILITA'!$AB$7,'FUNZIONI UTILITA'!$AC$7,
N8&gt;='FUNZIONI UTILITA'!$AB$8,'FUNZIONI UTILITA'!$AC$8),0)</f>
        <v>0</v>
      </c>
      <c r="O38" s="3" t="str">
        <f>'2022_DATI'!A7</f>
        <v>Monfalcone</v>
      </c>
    </row>
    <row r="39" spans="1:15" x14ac:dyDescent="0.3">
      <c r="A39" s="3" t="str">
        <f>'2022_DATI'!A8</f>
        <v>Sermide</v>
      </c>
      <c r="B39" s="185" cm="1">
        <f t="array" ref="B39">_xlfn.IFS(B9&lt;='FUNZIONI UTILITA'!$B$4,B9*'FUNZIONI UTILITA'!$E$4+'FUNZIONI UTILITA'!$F$4,
AND(B9&gt;'FUNZIONI UTILITA'!$B$4,B9&lt;='FUNZIONI UTILITA'!$B$5),B9*'FUNZIONI UTILITA'!$E$5+'FUNZIONI UTILITA'!$F$5,
AND(B9&gt;'FUNZIONI UTILITA'!$B$5,B9&lt;='FUNZIONI UTILITA'!$B$6),B9*'FUNZIONI UTILITA'!$E$6+'FUNZIONI UTILITA'!$F$6,
AND(B9&gt;'FUNZIONI UTILITA'!$B$6,B9&lt;='FUNZIONI UTILITA'!$B$7),B9*'FUNZIONI UTILITA'!$E$7+'FUNZIONI UTILITA'!$F$7,
B9&gt;'FUNZIONI UTILITA'!$B$7,B9*'FUNZIONI UTILITA'!$E$8+'FUNZIONI UTILITA'!$F$8)</f>
        <v>5.6984707829591272</v>
      </c>
      <c r="C39" s="186">
        <f>C9</f>
        <v>-12.647236892808674</v>
      </c>
      <c r="J39" s="18" cm="1">
        <f t="array" ref="J39">_xlfn.IFS(J9&lt;='FUNZIONI UTILITA'!$M$4,J9*'FUNZIONI UTILITA'!$P$4+'FUNZIONI UTILITA'!$Q$4,
AND(J9&gt;'FUNZIONI UTILITA'!$M$4,J9&lt;='FUNZIONI UTILITA'!$M$5),J9*'FUNZIONI UTILITA'!$P$5+'FUNZIONI UTILITA'!$Q$5,
AND(J9&gt;'FUNZIONI UTILITA'!$M$5,J9&lt;='FUNZIONI UTILITA'!$M$6),J9*'FUNZIONI UTILITA'!$P$6+'FUNZIONI UTILITA'!$Q$6,
AND(J9&gt;'FUNZIONI UTILITA'!$M$6,J9&lt;='FUNZIONI UTILITA'!$M$7),J9*'FUNZIONI UTILITA'!$P$7+'FUNZIONI UTILITA'!$Q$7,
J9&gt;'FUNZIONI UTILITA'!$M$7,J9*'FUNZIONI UTILITA'!$P$8+'FUNZIONI UTILITA'!$Q$8)</f>
        <v>88.968885488157071</v>
      </c>
      <c r="K39" s="206">
        <f>K9*100</f>
        <v>77.672307701918456</v>
      </c>
      <c r="L39" s="187" cm="1">
        <f t="array" ref="L39">_xlfn.IFS(L9&lt;'FUNZIONI UTILITA'!$T$3,'FUNZIONI UTILITA'!U8,
AND(L9&lt;'FUNZIONI UTILITA'!$T$4,L9&gt;='FUNZIONI UTILITA'!$T$3),L9*'FUNZIONI UTILITA'!$W$4+'FUNZIONI UTILITA'!$X$4,
AND(L9&lt;'FUNZIONI UTILITA'!$T$5,L9&gt;='FUNZIONI UTILITA'!$T$4),L9*'FUNZIONI UTILITA'!$W$5+'FUNZIONI UTILITA'!$X$5,
AND(L9&lt;'FUNZIONI UTILITA'!$T$6,L9&gt;='FUNZIONI UTILITA'!$T$5),L9*'FUNZIONI UTILITA'!$W$6+'FUNZIONI UTILITA'!$X$6,
L9&gt;='FUNZIONI UTILITA'!$T$6,L9*'FUNZIONI UTILITA'!$W$7+'FUNZIONI UTILITA'!$X$7)</f>
        <v>31.153349460010283</v>
      </c>
      <c r="M39" cm="1">
        <f t="array" ref="M39">IFERROR(_xlfn.IFS(M9&lt;='FUNZIONI UTILITA'!$Y$3,'FUNZIONI UTILITA'!$AA$3,AND(M9&lt;='FUNZIONI UTILITA'!$Y$4,M9&gt;'FUNZIONI UTILITA'!$Y$3),'FUNZIONI UTILITA'!$AA$4,
AND(M9&lt;='FUNZIONI UTILITA'!$Y$5,M9&gt;'FUNZIONI UTILITA'!$Y$4),'FUNZIONI UTILITA'!$AA$5,
AND(M9&lt;='FUNZIONI UTILITA'!$Y$6,M9&gt;'FUNZIONI UTILITA'!$Y$5),'FUNZIONI UTILITA'!$AA$6,
M9&gt;'FUNZIONI UTILITA'!$Y$7,'FUNZIONI UTILITA'!$AA$7),0)</f>
        <v>0</v>
      </c>
      <c r="N39" s="22" cm="1">
        <f t="array" ref="N39">IFERROR(_xlfn.IFS(N9='FUNZIONI UTILITA'!$AB$3,'FUNZIONI UTILITA'!$AC$3,
N9='FUNZIONI UTILITA'!$AB$4,'FUNZIONI UTILITA'!$AC$4,
N9='FUNZIONI UTILITA'!$AB$5,'FUNZIONI UTILITA'!$AC$5,
N9='FUNZIONI UTILITA'!$AB$6,'FUNZIONI UTILITA'!$AC$6,
N9='FUNZIONI UTILITA'!$AB$7,'FUNZIONI UTILITA'!$AC$7,
N9&gt;='FUNZIONI UTILITA'!$AB$8,'FUNZIONI UTILITA'!$AC$8),0)</f>
        <v>0</v>
      </c>
      <c r="O39" s="3" t="str">
        <f>'2022_DATI'!A8</f>
        <v>Sermide</v>
      </c>
    </row>
    <row r="40" spans="1:15" x14ac:dyDescent="0.3">
      <c r="A40" s="3" t="str">
        <f>'2022_DATI'!A9</f>
        <v>Piacenza</v>
      </c>
      <c r="B40" s="185" cm="1">
        <f t="array" ref="B40">_xlfn.IFS(B10&lt;='FUNZIONI UTILITA'!$B$4,B10*'FUNZIONI UTILITA'!$E$4+'FUNZIONI UTILITA'!$F$4,
AND(B10&gt;'FUNZIONI UTILITA'!$B$4,B10&lt;='FUNZIONI UTILITA'!$B$5),B10*'FUNZIONI UTILITA'!$E$5+'FUNZIONI UTILITA'!$F$5,
AND(B10&gt;'FUNZIONI UTILITA'!$B$5,B10&lt;='FUNZIONI UTILITA'!$B$6),B10*'FUNZIONI UTILITA'!$E$6+'FUNZIONI UTILITA'!$F$6,
AND(B10&gt;'FUNZIONI UTILITA'!$B$6,B10&lt;='FUNZIONI UTILITA'!$B$7),B10*'FUNZIONI UTILITA'!$E$7+'FUNZIONI UTILITA'!$F$7,
B10&gt;'FUNZIONI UTILITA'!$B$7,B10*'FUNZIONI UTILITA'!$E$8+'FUNZIONI UTILITA'!$F$8)</f>
        <v>9.5748765242745471</v>
      </c>
      <c r="C40" s="186">
        <f>C10</f>
        <v>-12.829913478287523</v>
      </c>
      <c r="J40" s="18" cm="1">
        <f t="array" ref="J40">_xlfn.IFS(J10&lt;='FUNZIONI UTILITA'!$M$4,J10*'FUNZIONI UTILITA'!$P$4+'FUNZIONI UTILITA'!$Q$4,
AND(J10&gt;'FUNZIONI UTILITA'!$M$4,J10&lt;='FUNZIONI UTILITA'!$M$5),J10*'FUNZIONI UTILITA'!$P$5+'FUNZIONI UTILITA'!$Q$5,
AND(J10&gt;'FUNZIONI UTILITA'!$M$5,J10&lt;='FUNZIONI UTILITA'!$M$6),J10*'FUNZIONI UTILITA'!$P$6+'FUNZIONI UTILITA'!$Q$6,
AND(J10&gt;'FUNZIONI UTILITA'!$M$6,J10&lt;='FUNZIONI UTILITA'!$M$7),J10*'FUNZIONI UTILITA'!$P$7+'FUNZIONI UTILITA'!$Q$7,
J10&gt;'FUNZIONI UTILITA'!$M$7,J10*'FUNZIONI UTILITA'!$P$8+'FUNZIONI UTILITA'!$Q$8)</f>
        <v>84.663565124531956</v>
      </c>
      <c r="K40">
        <f>K10*100</f>
        <v>0</v>
      </c>
      <c r="L40" s="187" cm="1">
        <f t="array" ref="L40">_xlfn.IFS(L10&lt;'FUNZIONI UTILITA'!$T$3,'FUNZIONI UTILITA'!U9,
AND(L10&lt;'FUNZIONI UTILITA'!$T$4,L10&gt;='FUNZIONI UTILITA'!$T$3),L10*'FUNZIONI UTILITA'!$W$4+'FUNZIONI UTILITA'!$X$4,
AND(L10&lt;'FUNZIONI UTILITA'!$T$5,L10&gt;='FUNZIONI UTILITA'!$T$4),L10*'FUNZIONI UTILITA'!$W$5+'FUNZIONI UTILITA'!$X$5,
AND(L10&lt;'FUNZIONI UTILITA'!$T$6,L10&gt;='FUNZIONI UTILITA'!$T$5),L10*'FUNZIONI UTILITA'!$W$6+'FUNZIONI UTILITA'!$X$6,
L10&gt;='FUNZIONI UTILITA'!$T$6,L10*'FUNZIONI UTILITA'!$W$7+'FUNZIONI UTILITA'!$X$7)</f>
        <v>24.984918555360593</v>
      </c>
      <c r="M40" cm="1">
        <f t="array" ref="M40">IFERROR(_xlfn.IFS(M10&lt;='FUNZIONI UTILITA'!$Y$3,'FUNZIONI UTILITA'!$AA$3,AND(M10&lt;='FUNZIONI UTILITA'!$Y$4,M10&gt;'FUNZIONI UTILITA'!$Y$3),'FUNZIONI UTILITA'!$AA$4,
AND(M10&lt;='FUNZIONI UTILITA'!$Y$5,M10&gt;'FUNZIONI UTILITA'!$Y$4),'FUNZIONI UTILITA'!$AA$5,
AND(M10&lt;='FUNZIONI UTILITA'!$Y$6,M10&gt;'FUNZIONI UTILITA'!$Y$5),'FUNZIONI UTILITA'!$AA$6,
M10&gt;'FUNZIONI UTILITA'!$Y$7,'FUNZIONI UTILITA'!$AA$7),0)</f>
        <v>80</v>
      </c>
      <c r="N40" s="22" cm="1">
        <f t="array" ref="N40">IFERROR(_xlfn.IFS(N10='FUNZIONI UTILITA'!$AB$3,'FUNZIONI UTILITA'!$AC$3,
N10='FUNZIONI UTILITA'!$AB$4,'FUNZIONI UTILITA'!$AC$4,
N10='FUNZIONI UTILITA'!$AB$5,'FUNZIONI UTILITA'!$AC$5,
N10='FUNZIONI UTILITA'!$AB$6,'FUNZIONI UTILITA'!$AC$6,
N10='FUNZIONI UTILITA'!$AB$7,'FUNZIONI UTILITA'!$AC$7,
N10&gt;='FUNZIONI UTILITA'!$AB$8,'FUNZIONI UTILITA'!$AC$8),0)</f>
        <v>0</v>
      </c>
      <c r="O40" s="3" t="str">
        <f>'2022_DATI'!A9</f>
        <v>Piacenza</v>
      </c>
    </row>
    <row r="41" spans="1:15" x14ac:dyDescent="0.3">
      <c r="A41" s="4" t="str">
        <f>'2022_DATI'!A10</f>
        <v>Novel</v>
      </c>
      <c r="B41" s="185" cm="1">
        <f t="array" ref="B41">_xlfn.IFS(B11&lt;='FUNZIONI UTILITA'!$B$4,B11*'FUNZIONI UTILITA'!$E$4+'FUNZIONI UTILITA'!$F$4,
AND(B11&gt;'FUNZIONI UTILITA'!$B$4,B11&lt;='FUNZIONI UTILITA'!$B$5),B11*'FUNZIONI UTILITA'!$E$5+'FUNZIONI UTILITA'!$F$5,
AND(B11&gt;'FUNZIONI UTILITA'!$B$5,B11&lt;='FUNZIONI UTILITA'!$B$6),B11*'FUNZIONI UTILITA'!$E$6+'FUNZIONI UTILITA'!$F$6,
AND(B11&gt;'FUNZIONI UTILITA'!$B$6,B11&lt;='FUNZIONI UTILITA'!$B$7),B11*'FUNZIONI UTILITA'!$E$7+'FUNZIONI UTILITA'!$F$7,
B11&gt;'FUNZIONI UTILITA'!$B$7,B11*'FUNZIONI UTILITA'!$E$8+'FUNZIONI UTILITA'!$F$8)</f>
        <v>50.170340425531919</v>
      </c>
      <c r="C41" s="186">
        <f>C11</f>
        <v>-12.737982399185606</v>
      </c>
      <c r="J41" s="18" cm="1">
        <f t="array" ref="J41">_xlfn.IFS(J11&lt;='FUNZIONI UTILITA'!$M$4,J11*'FUNZIONI UTILITA'!$P$4+'FUNZIONI UTILITA'!$Q$4,
AND(J11&gt;'FUNZIONI UTILITA'!$M$4,J11&lt;='FUNZIONI UTILITA'!$M$5),J11*'FUNZIONI UTILITA'!$P$5+'FUNZIONI UTILITA'!$Q$5,
AND(J11&gt;'FUNZIONI UTILITA'!$M$5,J11&lt;='FUNZIONI UTILITA'!$M$6),J11*'FUNZIONI UTILITA'!$P$6+'FUNZIONI UTILITA'!$Q$6,
AND(J11&gt;'FUNZIONI UTILITA'!$M$6,J11&lt;='FUNZIONI UTILITA'!$M$7),J11*'FUNZIONI UTILITA'!$P$7+'FUNZIONI UTILITA'!$Q$7,
J11&gt;'FUNZIONI UTILITA'!$M$7,J11*'FUNZIONI UTILITA'!$P$8+'FUNZIONI UTILITA'!$Q$8)</f>
        <v>72.781472990696031</v>
      </c>
      <c r="K41">
        <f>K11*100</f>
        <v>0</v>
      </c>
      <c r="L41" s="187" cm="1">
        <f t="array" ref="L41">_xlfn.IFS(L11&lt;'FUNZIONI UTILITA'!$T$3,'FUNZIONI UTILITA'!U10,
AND(L11&lt;'FUNZIONI UTILITA'!$T$4,L11&gt;='FUNZIONI UTILITA'!$T$3),L11*'FUNZIONI UTILITA'!$W$4+'FUNZIONI UTILITA'!$X$4,
AND(L11&lt;'FUNZIONI UTILITA'!$T$5,L11&gt;='FUNZIONI UTILITA'!$T$4),L11*'FUNZIONI UTILITA'!$W$5+'FUNZIONI UTILITA'!$X$5,
AND(L11&lt;'FUNZIONI UTILITA'!$T$6,L11&gt;='FUNZIONI UTILITA'!$T$5),L11*'FUNZIONI UTILITA'!$W$6+'FUNZIONI UTILITA'!$X$6,
L11&gt;='FUNZIONI UTILITA'!$T$6,L11*'FUNZIONI UTILITA'!$W$7+'FUNZIONI UTILITA'!$X$7)</f>
        <v>30.440495182527961</v>
      </c>
      <c r="M41" cm="1">
        <f t="array" ref="M41">IFERROR(_xlfn.IFS(M11&lt;='FUNZIONI UTILITA'!$Y$3,'FUNZIONI UTILITA'!$AA$3,AND(M11&lt;='FUNZIONI UTILITA'!$Y$4,M11&gt;'FUNZIONI UTILITA'!$Y$3),'FUNZIONI UTILITA'!$AA$4,
AND(M11&lt;='FUNZIONI UTILITA'!$Y$5,M11&gt;'FUNZIONI UTILITA'!$Y$4),'FUNZIONI UTILITA'!$AA$5,
AND(M11&lt;='FUNZIONI UTILITA'!$Y$6,M11&gt;'FUNZIONI UTILITA'!$Y$5),'FUNZIONI UTILITA'!$AA$6,
M11&gt;'FUNZIONI UTILITA'!$Y$7,'FUNZIONI UTILITA'!$AA$7),0)</f>
        <v>0</v>
      </c>
      <c r="N41" s="22" cm="1">
        <f t="array" ref="N41">IFERROR(_xlfn.IFS(N11='FUNZIONI UTILITA'!$AB$3,'FUNZIONI UTILITA'!$AC$3,
N11='FUNZIONI UTILITA'!$AB$4,'FUNZIONI UTILITA'!$AC$4,
N11='FUNZIONI UTILITA'!$AB$5,'FUNZIONI UTILITA'!$AC$5,
N11='FUNZIONI UTILITA'!$AB$6,'FUNZIONI UTILITA'!$AC$6,
N11='FUNZIONI UTILITA'!$AB$7,'FUNZIONI UTILITA'!$AC$7,
N11&gt;='FUNZIONI UTILITA'!$AB$8,'FUNZIONI UTILITA'!$AC$8),0)</f>
        <v>0</v>
      </c>
      <c r="O41" s="4" t="str">
        <f>'2022_DATI'!A10</f>
        <v>Novel</v>
      </c>
    </row>
    <row r="42" spans="1:15" x14ac:dyDescent="0.3">
      <c r="A42" s="5" t="str">
        <f>'2022_DATI'!A11</f>
        <v>La Casella</v>
      </c>
      <c r="B42" s="185" cm="1">
        <f t="array" ref="B42">_xlfn.IFS(B12&lt;='FUNZIONI UTILITA'!$B$4,B12*'FUNZIONI UTILITA'!$E$4+'FUNZIONI UTILITA'!$F$4,
AND(B12&gt;'FUNZIONI UTILITA'!$B$4,B12&lt;='FUNZIONI UTILITA'!$B$5),B12*'FUNZIONI UTILITA'!$E$5+'FUNZIONI UTILITA'!$F$5,
AND(B12&gt;'FUNZIONI UTILITA'!$B$5,B12&lt;='FUNZIONI UTILITA'!$B$6),B12*'FUNZIONI UTILITA'!$E$6+'FUNZIONI UTILITA'!$F$6,
AND(B12&gt;'FUNZIONI UTILITA'!$B$6,B12&lt;='FUNZIONI UTILITA'!$B$7),B12*'FUNZIONI UTILITA'!$E$7+'FUNZIONI UTILITA'!$F$7,
B12&gt;'FUNZIONI UTILITA'!$B$7,B12*'FUNZIONI UTILITA'!$E$8+'FUNZIONI UTILITA'!$F$8)</f>
        <v>-0.18182781174959217</v>
      </c>
      <c r="C42" s="186">
        <f>C12</f>
        <v>-12.857012450302289</v>
      </c>
      <c r="J42" s="18" cm="1">
        <f t="array" ref="J42">_xlfn.IFS(J12&lt;='FUNZIONI UTILITA'!$M$4,J12*'FUNZIONI UTILITA'!$P$4+'FUNZIONI UTILITA'!$Q$4,
AND(J12&gt;'FUNZIONI UTILITA'!$M$4,J12&lt;='FUNZIONI UTILITA'!$M$5),J12*'FUNZIONI UTILITA'!$P$5+'FUNZIONI UTILITA'!$Q$5,
AND(J12&gt;'FUNZIONI UTILITA'!$M$5,J12&lt;='FUNZIONI UTILITA'!$M$6),J12*'FUNZIONI UTILITA'!$P$6+'FUNZIONI UTILITA'!$Q$6,
AND(J12&gt;'FUNZIONI UTILITA'!$M$6,J12&lt;='FUNZIONI UTILITA'!$M$7),J12*'FUNZIONI UTILITA'!$P$7+'FUNZIONI UTILITA'!$Q$7,
J12&gt;'FUNZIONI UTILITA'!$M$7,J12*'FUNZIONI UTILITA'!$P$8+'FUNZIONI UTILITA'!$Q$8)</f>
        <v>85.19626939974448</v>
      </c>
      <c r="K42">
        <f>K12*100</f>
        <v>0</v>
      </c>
      <c r="L42" s="187" cm="1">
        <f t="array" ref="L42">_xlfn.IFS(L12&lt;'FUNZIONI UTILITA'!$T$3,'FUNZIONI UTILITA'!U25,
AND(L12&lt;'FUNZIONI UTILITA'!$T$4,L12&gt;='FUNZIONI UTILITA'!$T$3),L12*'FUNZIONI UTILITA'!$W$4+'FUNZIONI UTILITA'!$X$4,
AND(L12&lt;'FUNZIONI UTILITA'!$T$5,L12&gt;='FUNZIONI UTILITA'!$T$4),L12*'FUNZIONI UTILITA'!$W$5+'FUNZIONI UTILITA'!$X$5,
AND(L12&lt;'FUNZIONI UTILITA'!$T$6,L12&gt;='FUNZIONI UTILITA'!$T$5),L12*'FUNZIONI UTILITA'!$W$6+'FUNZIONI UTILITA'!$X$6,
L12&gt;='FUNZIONI UTILITA'!$T$6,L12*'FUNZIONI UTILITA'!$W$7+'FUNZIONI UTILITA'!$X$7)</f>
        <v>9.7087520058652608</v>
      </c>
      <c r="M42" cm="1">
        <f t="array" ref="M42">IFERROR(_xlfn.IFS(M12&lt;='FUNZIONI UTILITA'!$Y$3,'FUNZIONI UTILITA'!$AA$3,AND(M12&lt;='FUNZIONI UTILITA'!$Y$4,M12&gt;'FUNZIONI UTILITA'!$Y$3),'FUNZIONI UTILITA'!$AA$4,
AND(M12&lt;='FUNZIONI UTILITA'!$Y$5,M12&gt;'FUNZIONI UTILITA'!$Y$4),'FUNZIONI UTILITA'!$AA$5,
AND(M12&lt;='FUNZIONI UTILITA'!$Y$6,M12&gt;'FUNZIONI UTILITA'!$Y$5),'FUNZIONI UTILITA'!$AA$6,
M12&gt;'FUNZIONI UTILITA'!$Y$7,'FUNZIONI UTILITA'!$AA$7),0)</f>
        <v>0</v>
      </c>
      <c r="N42" s="22" cm="1">
        <f t="array" ref="N42">IFERROR(_xlfn.IFS(N12='FUNZIONI UTILITA'!$AB$3,'FUNZIONI UTILITA'!$AC$3,
N12='FUNZIONI UTILITA'!$AB$4,'FUNZIONI UTILITA'!$AC$4,
N12='FUNZIONI UTILITA'!$AB$5,'FUNZIONI UTILITA'!$AC$5,
N12='FUNZIONI UTILITA'!$AB$6,'FUNZIONI UTILITA'!$AC$6,
N12='FUNZIONI UTILITA'!$AB$7,'FUNZIONI UTILITA'!$AC$7,
N12&gt;='FUNZIONI UTILITA'!$AB$8,'FUNZIONI UTILITA'!$AC$8),0)</f>
        <v>100</v>
      </c>
      <c r="O42" s="5" t="str">
        <f>'2022_DATI'!A11</f>
        <v>La Casella</v>
      </c>
    </row>
    <row r="43" spans="1:15" x14ac:dyDescent="0.3">
      <c r="A43" s="5" t="str">
        <f>'2022_DATI'!A12</f>
        <v>Santa Barbara</v>
      </c>
      <c r="B43" s="185" cm="1">
        <f t="array" ref="B43">_xlfn.IFS(B13&lt;='FUNZIONI UTILITA'!$B$4,B13*'FUNZIONI UTILITA'!$E$4+'FUNZIONI UTILITA'!$F$4,
AND(B13&gt;'FUNZIONI UTILITA'!$B$4,B13&lt;='FUNZIONI UTILITA'!$B$5),B13*'FUNZIONI UTILITA'!$E$5+'FUNZIONI UTILITA'!$F$5,
AND(B13&gt;'FUNZIONI UTILITA'!$B$5,B13&lt;='FUNZIONI UTILITA'!$B$6),B13*'FUNZIONI UTILITA'!$E$6+'FUNZIONI UTILITA'!$F$6,
AND(B13&gt;'FUNZIONI UTILITA'!$B$6,B13&lt;='FUNZIONI UTILITA'!$B$7),B13*'FUNZIONI UTILITA'!$E$7+'FUNZIONI UTILITA'!$F$7,
B13&gt;'FUNZIONI UTILITA'!$B$7,B13*'FUNZIONI UTILITA'!$E$8+'FUNZIONI UTILITA'!$F$8)</f>
        <v>58.699759956355706</v>
      </c>
      <c r="C43" s="186">
        <f>C13</f>
        <v>-8.5530638780409625</v>
      </c>
      <c r="J43" s="18" cm="1">
        <f t="array" ref="J43">_xlfn.IFS(J13&lt;='FUNZIONI UTILITA'!$M$4,J13*'FUNZIONI UTILITA'!$P$4+'FUNZIONI UTILITA'!$Q$4,
AND(J13&gt;'FUNZIONI UTILITA'!$M$4,J13&lt;='FUNZIONI UTILITA'!$M$5),J13*'FUNZIONI UTILITA'!$P$5+'FUNZIONI UTILITA'!$Q$5,
AND(J13&gt;'FUNZIONI UTILITA'!$M$5,J13&lt;='FUNZIONI UTILITA'!$M$6),J13*'FUNZIONI UTILITA'!$P$6+'FUNZIONI UTILITA'!$Q$6,
AND(J13&gt;'FUNZIONI UTILITA'!$M$6,J13&lt;='FUNZIONI UTILITA'!$M$7),J13*'FUNZIONI UTILITA'!$P$7+'FUNZIONI UTILITA'!$Q$7,
J13&gt;'FUNZIONI UTILITA'!$M$7,J13*'FUNZIONI UTILITA'!$P$8+'FUNZIONI UTILITA'!$Q$8)</f>
        <v>69.980691690100912</v>
      </c>
      <c r="K43">
        <f>K13*100</f>
        <v>0</v>
      </c>
      <c r="L43" s="187" cm="1">
        <f t="array" ref="L43">_xlfn.IFS(L13&lt;'FUNZIONI UTILITA'!$T$3,'FUNZIONI UTILITA'!U26,
AND(L13&lt;'FUNZIONI UTILITA'!$T$4,L13&gt;='FUNZIONI UTILITA'!$T$3),L13*'FUNZIONI UTILITA'!$W$4+'FUNZIONI UTILITA'!$X$4,
AND(L13&lt;'FUNZIONI UTILITA'!$T$5,L13&gt;='FUNZIONI UTILITA'!$T$4),L13*'FUNZIONI UTILITA'!$W$5+'FUNZIONI UTILITA'!$X$5,
AND(L13&lt;'FUNZIONI UTILITA'!$T$6,L13&gt;='FUNZIONI UTILITA'!$T$5),L13*'FUNZIONI UTILITA'!$W$6+'FUNZIONI UTILITA'!$X$6,
L13&gt;='FUNZIONI UTILITA'!$T$6,L13*'FUNZIONI UTILITA'!$W$7+'FUNZIONI UTILITA'!$X$7)</f>
        <v>31.367346305926361</v>
      </c>
      <c r="M43" cm="1">
        <f t="array" ref="M43">IFERROR(_xlfn.IFS(M13&lt;='FUNZIONI UTILITA'!$Y$3,'FUNZIONI UTILITA'!$AA$3,AND(M13&lt;='FUNZIONI UTILITA'!$Y$4,M13&gt;'FUNZIONI UTILITA'!$Y$3),'FUNZIONI UTILITA'!$AA$4,
AND(M13&lt;='FUNZIONI UTILITA'!$Y$5,M13&gt;'FUNZIONI UTILITA'!$Y$4),'FUNZIONI UTILITA'!$AA$5,
AND(M13&lt;='FUNZIONI UTILITA'!$Y$6,M13&gt;'FUNZIONI UTILITA'!$Y$5),'FUNZIONI UTILITA'!$AA$6,
M13&gt;'FUNZIONI UTILITA'!$Y$7,'FUNZIONI UTILITA'!$AA$7),0)</f>
        <v>0</v>
      </c>
      <c r="N43" s="22" cm="1">
        <f t="array" ref="N43">IFERROR(_xlfn.IFS(N13='FUNZIONI UTILITA'!$AB$3,'FUNZIONI UTILITA'!$AC$3,
N13='FUNZIONI UTILITA'!$AB$4,'FUNZIONI UTILITA'!$AC$4,
N13='FUNZIONI UTILITA'!$AB$5,'FUNZIONI UTILITA'!$AC$5,
N13='FUNZIONI UTILITA'!$AB$6,'FUNZIONI UTILITA'!$AC$6,
N13='FUNZIONI UTILITA'!$AB$7,'FUNZIONI UTILITA'!$AC$7,
N13&gt;='FUNZIONI UTILITA'!$AB$8,'FUNZIONI UTILITA'!$AC$8),0)</f>
        <v>80</v>
      </c>
      <c r="O43" s="5" t="str">
        <f>'2022_DATI'!A12</f>
        <v>Santa Barbara</v>
      </c>
    </row>
    <row r="44" spans="1:15" x14ac:dyDescent="0.3">
      <c r="A44" s="5" t="str">
        <f>'2022_DATI'!A13</f>
        <v>Torrevaldaliga Nord</v>
      </c>
      <c r="B44" s="185" cm="1">
        <f t="array" ref="B44">_xlfn.IFS(B14&lt;='FUNZIONI UTILITA'!$B$4,B14*'FUNZIONI UTILITA'!$E$4+'FUNZIONI UTILITA'!$F$4,
AND(B14&gt;'FUNZIONI UTILITA'!$B$4,B14&lt;='FUNZIONI UTILITA'!$B$5),B14*'FUNZIONI UTILITA'!$E$5+'FUNZIONI UTILITA'!$F$5,
AND(B14&gt;'FUNZIONI UTILITA'!$B$5,B14&lt;='FUNZIONI UTILITA'!$B$6),B14*'FUNZIONI UTILITA'!$E$6+'FUNZIONI UTILITA'!$F$6,
AND(B14&gt;'FUNZIONI UTILITA'!$B$6,B14&lt;='FUNZIONI UTILITA'!$B$7),B14*'FUNZIONI UTILITA'!$E$7+'FUNZIONI UTILITA'!$F$7,
B14&gt;'FUNZIONI UTILITA'!$B$7,B14*'FUNZIONI UTILITA'!$E$8+'FUNZIONI UTILITA'!$F$8)</f>
        <v>92.424242424242422</v>
      </c>
      <c r="C44" s="186">
        <f>C14</f>
        <v>85.747400009510756</v>
      </c>
      <c r="J44" s="18" cm="1">
        <f t="array" ref="J44">_xlfn.IFS(J14&lt;='FUNZIONI UTILITA'!$M$4,J14*'FUNZIONI UTILITA'!$P$4+'FUNZIONI UTILITA'!$Q$4,
AND(J14&gt;'FUNZIONI UTILITA'!$M$4,J14&lt;='FUNZIONI UTILITA'!$M$5),J14*'FUNZIONI UTILITA'!$P$5+'FUNZIONI UTILITA'!$Q$5,
AND(J14&gt;'FUNZIONI UTILITA'!$M$5,J14&lt;='FUNZIONI UTILITA'!$M$6),J14*'FUNZIONI UTILITA'!$P$6+'FUNZIONI UTILITA'!$Q$6,
AND(J14&gt;'FUNZIONI UTILITA'!$M$6,J14&lt;='FUNZIONI UTILITA'!$M$7),J14*'FUNZIONI UTILITA'!$P$7+'FUNZIONI UTILITA'!$Q$7,
J14&gt;'FUNZIONI UTILITA'!$M$7,J14*'FUNZIONI UTILITA'!$P$8+'FUNZIONI UTILITA'!$Q$8)</f>
        <v>98.228206945428781</v>
      </c>
      <c r="K44">
        <f>K14*100</f>
        <v>100</v>
      </c>
      <c r="L44" s="187" cm="1">
        <f t="array" ref="L44">_xlfn.IFS(L14&lt;'FUNZIONI UTILITA'!$T$3,'FUNZIONI UTILITA'!U29,
AND(L14&lt;'FUNZIONI UTILITA'!$T$4,L14&gt;='FUNZIONI UTILITA'!$T$3),L14*'FUNZIONI UTILITA'!$W$4+'FUNZIONI UTILITA'!$X$4,
AND(L14&lt;'FUNZIONI UTILITA'!$T$5,L14&gt;='FUNZIONI UTILITA'!$T$4),L14*'FUNZIONI UTILITA'!$W$5+'FUNZIONI UTILITA'!$X$5,
AND(L14&lt;'FUNZIONI UTILITA'!$T$6,L14&gt;='FUNZIONI UTILITA'!$T$5),L14*'FUNZIONI UTILITA'!$W$6+'FUNZIONI UTILITA'!$X$6,
L14&gt;='FUNZIONI UTILITA'!$T$6,L14*'FUNZIONI UTILITA'!$W$7+'FUNZIONI UTILITA'!$X$7)</f>
        <v>100</v>
      </c>
      <c r="M44" cm="1">
        <f t="array" ref="M44">IFERROR(_xlfn.IFS(M14&lt;='FUNZIONI UTILITA'!$Y$3,'FUNZIONI UTILITA'!$AA$3,AND(M14&lt;='FUNZIONI UTILITA'!$Y$4,M14&gt;'FUNZIONI UTILITA'!$Y$3),'FUNZIONI UTILITA'!$AA$4,
AND(M14&lt;='FUNZIONI UTILITA'!$Y$5,M14&gt;'FUNZIONI UTILITA'!$Y$4),'FUNZIONI UTILITA'!$AA$5,
AND(M14&lt;='FUNZIONI UTILITA'!$Y$6,M14&gt;'FUNZIONI UTILITA'!$Y$5),'FUNZIONI UTILITA'!$AA$6,
M14&gt;'FUNZIONI UTILITA'!$Y$7,'FUNZIONI UTILITA'!$AA$7),0)</f>
        <v>80</v>
      </c>
      <c r="N44" s="22" cm="1">
        <f t="array" ref="N44">IFERROR(_xlfn.IFS(N14='FUNZIONI UTILITA'!$AB$3,'FUNZIONI UTILITA'!$AC$3,
N14='FUNZIONI UTILITA'!$AB$4,'FUNZIONI UTILITA'!$AC$4,
N14='FUNZIONI UTILITA'!$AB$5,'FUNZIONI UTILITA'!$AC$5,
N14='FUNZIONI UTILITA'!$AB$6,'FUNZIONI UTILITA'!$AC$6,
N14='FUNZIONI UTILITA'!$AB$7,'FUNZIONI UTILITA'!$AC$7,
N14&gt;='FUNZIONI UTILITA'!$AB$8,'FUNZIONI UTILITA'!$AC$8),0)</f>
        <v>0</v>
      </c>
      <c r="O44" s="5" t="str">
        <f>'2022_DATI'!A13</f>
        <v>Torrevaldaliga Nord</v>
      </c>
    </row>
    <row r="45" spans="1:15" x14ac:dyDescent="0.3">
      <c r="A45" s="6" t="str">
        <f>'2022_DATI'!A14</f>
        <v>Pietrafitta</v>
      </c>
      <c r="B45" s="185" cm="1">
        <f t="array" ref="B45">_xlfn.IFS(B15&lt;='FUNZIONI UTILITA'!$B$4,B15*'FUNZIONI UTILITA'!$E$4+'FUNZIONI UTILITA'!$F$4,
AND(B15&gt;'FUNZIONI UTILITA'!$B$4,B15&lt;='FUNZIONI UTILITA'!$B$5),B15*'FUNZIONI UTILITA'!$E$5+'FUNZIONI UTILITA'!$F$5,
AND(B15&gt;'FUNZIONI UTILITA'!$B$5,B15&lt;='FUNZIONI UTILITA'!$B$6),B15*'FUNZIONI UTILITA'!$E$6+'FUNZIONI UTILITA'!$F$6,
AND(B15&gt;'FUNZIONI UTILITA'!$B$6,B15&lt;='FUNZIONI UTILITA'!$B$7),B15*'FUNZIONI UTILITA'!$E$7+'FUNZIONI UTILITA'!$F$7,
B15&gt;'FUNZIONI UTILITA'!$B$7,B15*'FUNZIONI UTILITA'!$E$8+'FUNZIONI UTILITA'!$F$8)</f>
        <v>48.55179824849121</v>
      </c>
      <c r="C45" s="186">
        <f>C15</f>
        <v>-6.0955253397160369</v>
      </c>
      <c r="J45" s="18" cm="1">
        <f t="array" ref="J45">_xlfn.IFS(J15&lt;='FUNZIONI UTILITA'!$M$4,J15*'FUNZIONI UTILITA'!$P$4+'FUNZIONI UTILITA'!$Q$4,
AND(J15&gt;'FUNZIONI UTILITA'!$M$4,J15&lt;='FUNZIONI UTILITA'!$M$5),J15*'FUNZIONI UTILITA'!$P$5+'FUNZIONI UTILITA'!$Q$5,
AND(J15&gt;'FUNZIONI UTILITA'!$M$5,J15&lt;='FUNZIONI UTILITA'!$M$6),J15*'FUNZIONI UTILITA'!$P$6+'FUNZIONI UTILITA'!$Q$6,
AND(J15&gt;'FUNZIONI UTILITA'!$M$6,J15&lt;='FUNZIONI UTILITA'!$M$7),J15*'FUNZIONI UTILITA'!$P$7+'FUNZIONI UTILITA'!$Q$7,
J15&gt;'FUNZIONI UTILITA'!$M$7,J15*'FUNZIONI UTILITA'!$P$8+'FUNZIONI UTILITA'!$Q$8)</f>
        <v>51.834235163050295</v>
      </c>
      <c r="K45" s="207">
        <f>K15*100</f>
        <v>9.3254868171199927</v>
      </c>
      <c r="L45" s="187" cm="1">
        <f t="array" ref="L45">_xlfn.IFS(L15&lt;'FUNZIONI UTILITA'!$T$3,'FUNZIONI UTILITA'!U30,
AND(L15&lt;'FUNZIONI UTILITA'!$T$4,L15&gt;='FUNZIONI UTILITA'!$T$3),L15*'FUNZIONI UTILITA'!$W$4+'FUNZIONI UTILITA'!$X$4,
AND(L15&lt;'FUNZIONI UTILITA'!$T$5,L15&gt;='FUNZIONI UTILITA'!$T$4),L15*'FUNZIONI UTILITA'!$W$5+'FUNZIONI UTILITA'!$X$5,
AND(L15&lt;'FUNZIONI UTILITA'!$T$6,L15&gt;='FUNZIONI UTILITA'!$T$5),L15*'FUNZIONI UTILITA'!$W$6+'FUNZIONI UTILITA'!$X$6,
L15&gt;='FUNZIONI UTILITA'!$T$6,L15*'FUNZIONI UTILITA'!$W$7+'FUNZIONI UTILITA'!$X$7)</f>
        <v>43.641299884720887</v>
      </c>
      <c r="M45" cm="1">
        <f t="array" ref="M45">IFERROR(_xlfn.IFS(M15&lt;='FUNZIONI UTILITA'!$Y$3,'FUNZIONI UTILITA'!$AA$3,AND(M15&lt;='FUNZIONI UTILITA'!$Y$4,M15&gt;'FUNZIONI UTILITA'!$Y$3),'FUNZIONI UTILITA'!$AA$4,
AND(M15&lt;='FUNZIONI UTILITA'!$Y$5,M15&gt;'FUNZIONI UTILITA'!$Y$4),'FUNZIONI UTILITA'!$AA$5,
AND(M15&lt;='FUNZIONI UTILITA'!$Y$6,M15&gt;'FUNZIONI UTILITA'!$Y$5),'FUNZIONI UTILITA'!$AA$6,
M15&gt;'FUNZIONI UTILITA'!$Y$7,'FUNZIONI UTILITA'!$AA$7),0)</f>
        <v>0</v>
      </c>
      <c r="N45" s="22" cm="1">
        <f t="array" ref="N45">IFERROR(_xlfn.IFS(N15='FUNZIONI UTILITA'!$AB$3,'FUNZIONI UTILITA'!$AC$3,
N15='FUNZIONI UTILITA'!$AB$4,'FUNZIONI UTILITA'!$AC$4,
N15='FUNZIONI UTILITA'!$AB$5,'FUNZIONI UTILITA'!$AC$5,
N15='FUNZIONI UTILITA'!$AB$6,'FUNZIONI UTILITA'!$AC$6,
N15='FUNZIONI UTILITA'!$AB$7,'FUNZIONI UTILITA'!$AC$7,
N15&gt;='FUNZIONI UTILITA'!$AB$8,'FUNZIONI UTILITA'!$AC$8),0)</f>
        <v>0</v>
      </c>
      <c r="O45" s="6" t="str">
        <f>'2022_DATI'!A14</f>
        <v>Pietrafitta</v>
      </c>
    </row>
    <row r="46" spans="1:15" x14ac:dyDescent="0.3">
      <c r="A46" s="6" t="str">
        <f>'2022_DATI'!A15</f>
        <v>Archimede</v>
      </c>
      <c r="B46" s="185" cm="1">
        <f t="array" ref="B46">_xlfn.IFS(B16&lt;='FUNZIONI UTILITA'!$B$4,B16*'FUNZIONI UTILITA'!$E$4+'FUNZIONI UTILITA'!$F$4,
AND(B16&gt;'FUNZIONI UTILITA'!$B$4,B16&lt;='FUNZIONI UTILITA'!$B$5),B16*'FUNZIONI UTILITA'!$E$5+'FUNZIONI UTILITA'!$F$5,
AND(B16&gt;'FUNZIONI UTILITA'!$B$5,B16&lt;='FUNZIONI UTILITA'!$B$6),B16*'FUNZIONI UTILITA'!$E$6+'FUNZIONI UTILITA'!$F$6,
AND(B16&gt;'FUNZIONI UTILITA'!$B$6,B16&lt;='FUNZIONI UTILITA'!$B$7),B16*'FUNZIONI UTILITA'!$E$7+'FUNZIONI UTILITA'!$F$7,
B16&gt;'FUNZIONI UTILITA'!$B$7,B16*'FUNZIONI UTILITA'!$E$8+'FUNZIONI UTILITA'!$F$8)</f>
        <v>59.507837328305953</v>
      </c>
      <c r="C46" s="186">
        <f>C16</f>
        <v>64.206022652923025</v>
      </c>
      <c r="J46" s="18" cm="1">
        <f t="array" ref="J46">_xlfn.IFS(J16&lt;='FUNZIONI UTILITA'!$M$4,J16*'FUNZIONI UTILITA'!$P$4+'FUNZIONI UTILITA'!$Q$4,
AND(J16&gt;'FUNZIONI UTILITA'!$M$4,J16&lt;='FUNZIONI UTILITA'!$M$5),J16*'FUNZIONI UTILITA'!$P$5+'FUNZIONI UTILITA'!$Q$5,
AND(J16&gt;'FUNZIONI UTILITA'!$M$5,J16&lt;='FUNZIONI UTILITA'!$M$6),J16*'FUNZIONI UTILITA'!$P$6+'FUNZIONI UTILITA'!$Q$6,
AND(J16&gt;'FUNZIONI UTILITA'!$M$6,J16&lt;='FUNZIONI UTILITA'!$M$7),J16*'FUNZIONI UTILITA'!$P$7+'FUNZIONI UTILITA'!$Q$7,
J16&gt;'FUNZIONI UTILITA'!$M$7,J16*'FUNZIONI UTILITA'!$P$8+'FUNZIONI UTILITA'!$Q$8)</f>
        <v>58.386053320381023</v>
      </c>
      <c r="K46">
        <f>K16*100</f>
        <v>0</v>
      </c>
      <c r="L46" s="187" cm="1">
        <f t="array" ref="L46">_xlfn.IFS(L16&lt;'FUNZIONI UTILITA'!$T$3,'FUNZIONI UTILITA'!U31,
AND(L16&lt;'FUNZIONI UTILITA'!$T$4,L16&gt;='FUNZIONI UTILITA'!$T$3),L16*'FUNZIONI UTILITA'!$W$4+'FUNZIONI UTILITA'!$X$4,
AND(L16&lt;'FUNZIONI UTILITA'!$T$5,L16&gt;='FUNZIONI UTILITA'!$T$4),L16*'FUNZIONI UTILITA'!$W$5+'FUNZIONI UTILITA'!$X$5,
AND(L16&lt;'FUNZIONI UTILITA'!$T$6,L16&gt;='FUNZIONI UTILITA'!$T$5),L16*'FUNZIONI UTILITA'!$W$6+'FUNZIONI UTILITA'!$X$6,
L16&gt;='FUNZIONI UTILITA'!$T$6,L16*'FUNZIONI UTILITA'!$W$7+'FUNZIONI UTILITA'!$X$7)</f>
        <v>68.656760202642488</v>
      </c>
      <c r="M46" cm="1">
        <f t="array" ref="M46">IFERROR(_xlfn.IFS(M16&lt;='FUNZIONI UTILITA'!$Y$3,'FUNZIONI UTILITA'!$AA$3,AND(M16&lt;='FUNZIONI UTILITA'!$Y$4,M16&gt;'FUNZIONI UTILITA'!$Y$3),'FUNZIONI UTILITA'!$AA$4,
AND(M16&lt;='FUNZIONI UTILITA'!$Y$5,M16&gt;'FUNZIONI UTILITA'!$Y$4),'FUNZIONI UTILITA'!$AA$5,
AND(M16&lt;='FUNZIONI UTILITA'!$Y$6,M16&gt;'FUNZIONI UTILITA'!$Y$5),'FUNZIONI UTILITA'!$AA$6,
M16&gt;'FUNZIONI UTILITA'!$Y$7,'FUNZIONI UTILITA'!$AA$7),0)</f>
        <v>80</v>
      </c>
      <c r="N46" s="22" cm="1">
        <f t="array" ref="N46">IFERROR(_xlfn.IFS(N16='FUNZIONI UTILITA'!$AB$3,'FUNZIONI UTILITA'!$AC$3,
N16='FUNZIONI UTILITA'!$AB$4,'FUNZIONI UTILITA'!$AC$4,
N16='FUNZIONI UTILITA'!$AB$5,'FUNZIONI UTILITA'!$AC$5,
N16='FUNZIONI UTILITA'!$AB$6,'FUNZIONI UTILITA'!$AC$6,
N16='FUNZIONI UTILITA'!$AB$7,'FUNZIONI UTILITA'!$AC$7,
N16&gt;='FUNZIONI UTILITA'!$AB$8,'FUNZIONI UTILITA'!$AC$8),0)</f>
        <v>0</v>
      </c>
      <c r="O46" s="6" t="str">
        <f>'2022_DATI'!A15</f>
        <v>Archimede</v>
      </c>
    </row>
    <row r="47" spans="1:15" x14ac:dyDescent="0.3">
      <c r="A47" s="6" t="str">
        <f>'2022_DATI'!A16</f>
        <v>Federico II</v>
      </c>
      <c r="B47" s="185" cm="1">
        <f t="array" ref="B47">_xlfn.IFS(B17&lt;='FUNZIONI UTILITA'!$B$4,B17*'FUNZIONI UTILITA'!$E$4+'FUNZIONI UTILITA'!$F$4,
AND(B17&gt;'FUNZIONI UTILITA'!$B$4,B17&lt;='FUNZIONI UTILITA'!$B$5),B17*'FUNZIONI UTILITA'!$E$5+'FUNZIONI UTILITA'!$F$5,
AND(B17&gt;'FUNZIONI UTILITA'!$B$5,B17&lt;='FUNZIONI UTILITA'!$B$6),B17*'FUNZIONI UTILITA'!$E$6+'FUNZIONI UTILITA'!$F$6,
AND(B17&gt;'FUNZIONI UTILITA'!$B$6,B17&lt;='FUNZIONI UTILITA'!$B$7),B17*'FUNZIONI UTILITA'!$E$7+'FUNZIONI UTILITA'!$F$7,
B17&gt;'FUNZIONI UTILITA'!$B$7,B17*'FUNZIONI UTILITA'!$E$8+'FUNZIONI UTILITA'!$F$8)</f>
        <v>80.299943181818179</v>
      </c>
      <c r="C47" s="186">
        <f>C17</f>
        <v>85.856751503047064</v>
      </c>
      <c r="J47" s="18" cm="1">
        <f t="array" ref="J47">_xlfn.IFS(J17&lt;='FUNZIONI UTILITA'!$M$4,J17*'FUNZIONI UTILITA'!$P$4+'FUNZIONI UTILITA'!$Q$4,
AND(J17&gt;'FUNZIONI UTILITA'!$M$4,J17&lt;='FUNZIONI UTILITA'!$M$5),J17*'FUNZIONI UTILITA'!$P$5+'FUNZIONI UTILITA'!$Q$5,
AND(J17&gt;'FUNZIONI UTILITA'!$M$5,J17&lt;='FUNZIONI UTILITA'!$M$6),J17*'FUNZIONI UTILITA'!$P$6+'FUNZIONI UTILITA'!$Q$6,
AND(J17&gt;'FUNZIONI UTILITA'!$M$6,J17&lt;='FUNZIONI UTILITA'!$M$7),J17*'FUNZIONI UTILITA'!$P$7+'FUNZIONI UTILITA'!$Q$7,
J17&gt;'FUNZIONI UTILITA'!$M$7,J17*'FUNZIONI UTILITA'!$P$8+'FUNZIONI UTILITA'!$Q$8)</f>
        <v>90.318024867367626</v>
      </c>
      <c r="K47">
        <f>K17*100</f>
        <v>100</v>
      </c>
      <c r="L47" s="187" cm="1">
        <f t="array" ref="L47">_xlfn.IFS(L17&lt;'FUNZIONI UTILITA'!$T$3,'FUNZIONI UTILITA'!U32,
AND(L17&lt;'FUNZIONI UTILITA'!$T$4,L17&gt;='FUNZIONI UTILITA'!$T$3),L17*'FUNZIONI UTILITA'!$W$4+'FUNZIONI UTILITA'!$X$4,
AND(L17&lt;'FUNZIONI UTILITA'!$T$5,L17&gt;='FUNZIONI UTILITA'!$T$4),L17*'FUNZIONI UTILITA'!$W$5+'FUNZIONI UTILITA'!$X$5,
AND(L17&lt;'FUNZIONI UTILITA'!$T$6,L17&gt;='FUNZIONI UTILITA'!$T$5),L17*'FUNZIONI UTILITA'!$W$6+'FUNZIONI UTILITA'!$X$6,
L17&gt;='FUNZIONI UTILITA'!$T$6,L17*'FUNZIONI UTILITA'!$W$7+'FUNZIONI UTILITA'!$X$7)</f>
        <v>100</v>
      </c>
      <c r="M47" cm="1">
        <f t="array" ref="M47">IFERROR(_xlfn.IFS(M17&lt;='FUNZIONI UTILITA'!$Y$3,'FUNZIONI UTILITA'!$AA$3,AND(M17&lt;='FUNZIONI UTILITA'!$Y$4,M17&gt;'FUNZIONI UTILITA'!$Y$3),'FUNZIONI UTILITA'!$AA$4,
AND(M17&lt;='FUNZIONI UTILITA'!$Y$5,M17&gt;'FUNZIONI UTILITA'!$Y$4),'FUNZIONI UTILITA'!$AA$5,
AND(M17&lt;='FUNZIONI UTILITA'!$Y$6,M17&gt;'FUNZIONI UTILITA'!$Y$5),'FUNZIONI UTILITA'!$AA$6,
M17&gt;'FUNZIONI UTILITA'!$Y$7,'FUNZIONI UTILITA'!$AA$7),0)</f>
        <v>60</v>
      </c>
      <c r="N47" s="22" cm="1">
        <f t="array" ref="N47">IFERROR(_xlfn.IFS(N17='FUNZIONI UTILITA'!$AB$3,'FUNZIONI UTILITA'!$AC$3,
N17='FUNZIONI UTILITA'!$AB$4,'FUNZIONI UTILITA'!$AC$4,
N17='FUNZIONI UTILITA'!$AB$5,'FUNZIONI UTILITA'!$AC$5,
N17='FUNZIONI UTILITA'!$AB$6,'FUNZIONI UTILITA'!$AC$6,
N17='FUNZIONI UTILITA'!$AB$7,'FUNZIONI UTILITA'!$AC$7,
N17&gt;='FUNZIONI UTILITA'!$AB$8,'FUNZIONI UTILITA'!$AC$8),0)</f>
        <v>80</v>
      </c>
      <c r="O47" s="6" t="str">
        <f>'2022_DATI'!A16</f>
        <v>Federico II</v>
      </c>
    </row>
    <row r="48" spans="1:15" x14ac:dyDescent="0.3">
      <c r="A48" s="7" t="str">
        <f>'2022_DATI'!A17</f>
        <v>Leinì</v>
      </c>
      <c r="B48" s="185" cm="1">
        <f t="array" ref="B48">_xlfn.IFS(B18&lt;='FUNZIONI UTILITA'!$B$4,B18*'FUNZIONI UTILITA'!$E$4+'FUNZIONI UTILITA'!$F$4,
AND(B18&gt;'FUNZIONI UTILITA'!$B$4,B18&lt;='FUNZIONI UTILITA'!$B$5),B18*'FUNZIONI UTILITA'!$E$5+'FUNZIONI UTILITA'!$F$5,
AND(B18&gt;'FUNZIONI UTILITA'!$B$5,B18&lt;='FUNZIONI UTILITA'!$B$6),B18*'FUNZIONI UTILITA'!$E$6+'FUNZIONI UTILITA'!$F$6,
AND(B18&gt;'FUNZIONI UTILITA'!$B$6,B18&lt;='FUNZIONI UTILITA'!$B$7),B18*'FUNZIONI UTILITA'!$E$7+'FUNZIONI UTILITA'!$F$7,
B18&gt;'FUNZIONI UTILITA'!$B$7,B18*'FUNZIONI UTILITA'!$E$8+'FUNZIONI UTILITA'!$F$8)</f>
        <v>83.140120967741936</v>
      </c>
      <c r="C48" s="186">
        <f>C18</f>
        <v>0</v>
      </c>
      <c r="J48" s="18" cm="1">
        <f t="array" ref="J48">_xlfn.IFS(J18&lt;='FUNZIONI UTILITA'!$M$4,J18*'FUNZIONI UTILITA'!$P$4+'FUNZIONI UTILITA'!$Q$4,
AND(J18&gt;'FUNZIONI UTILITA'!$M$4,J18&lt;='FUNZIONI UTILITA'!$M$5),J18*'FUNZIONI UTILITA'!$P$5+'FUNZIONI UTILITA'!$Q$5,
AND(J18&gt;'FUNZIONI UTILITA'!$M$5,J18&lt;='FUNZIONI UTILITA'!$M$6),J18*'FUNZIONI UTILITA'!$P$6+'FUNZIONI UTILITA'!$Q$6,
AND(J18&gt;'FUNZIONI UTILITA'!$M$6,J18&lt;='FUNZIONI UTILITA'!$M$7),J18*'FUNZIONI UTILITA'!$P$7+'FUNZIONI UTILITA'!$Q$7,
J18&gt;'FUNZIONI UTILITA'!$M$7,J18*'FUNZIONI UTILITA'!$P$8+'FUNZIONI UTILITA'!$Q$8)</f>
        <v>96.229092835852583</v>
      </c>
      <c r="K48">
        <f>K18*100</f>
        <v>0</v>
      </c>
      <c r="L48" s="187" cm="1">
        <f t="array" ref="L48">_xlfn.IFS(L18&lt;'FUNZIONI UTILITA'!$T$3,'FUNZIONI UTILITA'!U33,
AND(L18&lt;'FUNZIONI UTILITA'!$T$4,L18&gt;='FUNZIONI UTILITA'!$T$3),L18*'FUNZIONI UTILITA'!$W$4+'FUNZIONI UTILITA'!$X$4,
AND(L18&lt;'FUNZIONI UTILITA'!$T$5,L18&gt;='FUNZIONI UTILITA'!$T$4),L18*'FUNZIONI UTILITA'!$W$5+'FUNZIONI UTILITA'!$X$5,
AND(L18&lt;'FUNZIONI UTILITA'!$T$6,L18&gt;='FUNZIONI UTILITA'!$T$5),L18*'FUNZIONI UTILITA'!$W$6+'FUNZIONI UTILITA'!$X$6,
L18&gt;='FUNZIONI UTILITA'!$T$6,L18*'FUNZIONI UTILITA'!$W$7+'FUNZIONI UTILITA'!$X$7)</f>
        <v>25.346337872653663</v>
      </c>
      <c r="M48" cm="1">
        <f t="array" ref="M48">IFERROR(_xlfn.IFS(M18&lt;='FUNZIONI UTILITA'!$Y$3,'FUNZIONI UTILITA'!$AA$3,AND(M18&lt;='FUNZIONI UTILITA'!$Y$4,M18&gt;'FUNZIONI UTILITA'!$Y$3),'FUNZIONI UTILITA'!$AA$4,
AND(M18&lt;='FUNZIONI UTILITA'!$Y$5,M18&gt;'FUNZIONI UTILITA'!$Y$4),'FUNZIONI UTILITA'!$AA$5,
AND(M18&lt;='FUNZIONI UTILITA'!$Y$6,M18&gt;'FUNZIONI UTILITA'!$Y$5),'FUNZIONI UTILITA'!$AA$6,
M18&gt;'FUNZIONI UTILITA'!$Y$7,'FUNZIONI UTILITA'!$AA$7),0)</f>
        <v>0</v>
      </c>
      <c r="N48" s="22" cm="1">
        <f t="array" ref="N48">IFERROR(_xlfn.IFS(N18='FUNZIONI UTILITA'!$AB$3,'FUNZIONI UTILITA'!$AC$3,
N18='FUNZIONI UTILITA'!$AB$4,'FUNZIONI UTILITA'!$AC$4,
N18='FUNZIONI UTILITA'!$AB$5,'FUNZIONI UTILITA'!$AC$5,
N18='FUNZIONI UTILITA'!$AB$6,'FUNZIONI UTILITA'!$AC$6,
N18='FUNZIONI UTILITA'!$AB$7,'FUNZIONI UTILITA'!$AC$7,
N18&gt;='FUNZIONI UTILITA'!$AB$8,'FUNZIONI UTILITA'!$AC$8),0)</f>
        <v>100</v>
      </c>
      <c r="O48" s="7" t="str">
        <f>'2022_DATI'!A17</f>
        <v>Leinì</v>
      </c>
    </row>
    <row r="49" spans="1:15" x14ac:dyDescent="0.3">
      <c r="A49" s="7" t="str">
        <f>'2022_DATI'!A18</f>
        <v>Voghera</v>
      </c>
      <c r="B49" s="185" cm="1">
        <f t="array" ref="B49">_xlfn.IFS(B19&lt;='FUNZIONI UTILITA'!$B$4,B19*'FUNZIONI UTILITA'!$E$4+'FUNZIONI UTILITA'!$F$4,
AND(B19&gt;'FUNZIONI UTILITA'!$B$4,B19&lt;='FUNZIONI UTILITA'!$B$5),B19*'FUNZIONI UTILITA'!$E$5+'FUNZIONI UTILITA'!$F$5,
AND(B19&gt;'FUNZIONI UTILITA'!$B$5,B19&lt;='FUNZIONI UTILITA'!$B$6),B19*'FUNZIONI UTILITA'!$E$6+'FUNZIONI UTILITA'!$F$6,
AND(B19&gt;'FUNZIONI UTILITA'!$B$6,B19&lt;='FUNZIONI UTILITA'!$B$7),B19*'FUNZIONI UTILITA'!$E$7+'FUNZIONI UTILITA'!$F$7,
B19&gt;'FUNZIONI UTILITA'!$B$7,B19*'FUNZIONI UTILITA'!$E$8+'FUNZIONI UTILITA'!$F$8)</f>
        <v>83.054573170731715</v>
      </c>
      <c r="C49" s="186">
        <f>C19</f>
        <v>-2.8571428571428572</v>
      </c>
      <c r="J49" s="18" cm="1">
        <f t="array" ref="J49">_xlfn.IFS(J19&lt;='FUNZIONI UTILITA'!$M$4,J19*'FUNZIONI UTILITA'!$P$4+'FUNZIONI UTILITA'!$Q$4,
AND(J19&gt;'FUNZIONI UTILITA'!$M$4,J19&lt;='FUNZIONI UTILITA'!$M$5),J19*'FUNZIONI UTILITA'!$P$5+'FUNZIONI UTILITA'!$Q$5,
AND(J19&gt;'FUNZIONI UTILITA'!$M$5,J19&lt;='FUNZIONI UTILITA'!$M$6),J19*'FUNZIONI UTILITA'!$P$6+'FUNZIONI UTILITA'!$Q$6,
AND(J19&gt;'FUNZIONI UTILITA'!$M$6,J19&lt;='FUNZIONI UTILITA'!$M$7),J19*'FUNZIONI UTILITA'!$P$7+'FUNZIONI UTILITA'!$Q$7,
J19&gt;'FUNZIONI UTILITA'!$M$7,J19*'FUNZIONI UTILITA'!$P$8+'FUNZIONI UTILITA'!$Q$8)</f>
        <v>96.778779583925058</v>
      </c>
      <c r="K49">
        <f>K19*100</f>
        <v>0</v>
      </c>
      <c r="L49" s="187" cm="1">
        <f t="array" ref="L49">_xlfn.IFS(L19&lt;'FUNZIONI UTILITA'!$T$3,'FUNZIONI UTILITA'!U35,
AND(L19&lt;'FUNZIONI UTILITA'!$T$4,L19&gt;='FUNZIONI UTILITA'!$T$3),L19*'FUNZIONI UTILITA'!$W$4+'FUNZIONI UTILITA'!$X$4,
AND(L19&lt;'FUNZIONI UTILITA'!$T$5,L19&gt;='FUNZIONI UTILITA'!$T$4),L19*'FUNZIONI UTILITA'!$W$5+'FUNZIONI UTILITA'!$X$5,
AND(L19&lt;'FUNZIONI UTILITA'!$T$6,L19&gt;='FUNZIONI UTILITA'!$T$5),L19*'FUNZIONI UTILITA'!$W$6+'FUNZIONI UTILITA'!$X$6,
L19&gt;='FUNZIONI UTILITA'!$T$6,L19*'FUNZIONI UTILITA'!$W$7+'FUNZIONI UTILITA'!$X$7)</f>
        <v>7.8758678477376129</v>
      </c>
      <c r="M49" cm="1">
        <f t="array" ref="M49">IFERROR(_xlfn.IFS(M19&lt;='FUNZIONI UTILITA'!$Y$3,'FUNZIONI UTILITA'!$AA$3,AND(M19&lt;='FUNZIONI UTILITA'!$Y$4,M19&gt;'FUNZIONI UTILITA'!$Y$3),'FUNZIONI UTILITA'!$AA$4,
AND(M19&lt;='FUNZIONI UTILITA'!$Y$5,M19&gt;'FUNZIONI UTILITA'!$Y$4),'FUNZIONI UTILITA'!$AA$5,
AND(M19&lt;='FUNZIONI UTILITA'!$Y$6,M19&gt;'FUNZIONI UTILITA'!$Y$5),'FUNZIONI UTILITA'!$AA$6,
M19&gt;'FUNZIONI UTILITA'!$Y$7,'FUNZIONI UTILITA'!$AA$7),0)</f>
        <v>0</v>
      </c>
      <c r="N49" s="22" cm="1">
        <f t="array" ref="N49">IFERROR(_xlfn.IFS(N19='FUNZIONI UTILITA'!$AB$3,'FUNZIONI UTILITA'!$AC$3,
N19='FUNZIONI UTILITA'!$AB$4,'FUNZIONI UTILITA'!$AC$4,
N19='FUNZIONI UTILITA'!$AB$5,'FUNZIONI UTILITA'!$AC$5,
N19='FUNZIONI UTILITA'!$AB$6,'FUNZIONI UTILITA'!$AC$6,
N19='FUNZIONI UTILITA'!$AB$7,'FUNZIONI UTILITA'!$AC$7,
N19&gt;='FUNZIONI UTILITA'!$AB$8,'FUNZIONI UTILITA'!$AC$8),0)</f>
        <v>60</v>
      </c>
      <c r="O49" s="7" t="str">
        <f>'2022_DATI'!A18</f>
        <v>Voghera</v>
      </c>
    </row>
    <row r="50" spans="1:15" x14ac:dyDescent="0.3">
      <c r="A50" s="8" t="str">
        <f>'2022_DATI'!A19</f>
        <v>Moncalieri</v>
      </c>
      <c r="B50" s="185" cm="1">
        <f t="array" ref="B50">_xlfn.IFS(B20&lt;='FUNZIONI UTILITA'!$B$4,B20*'FUNZIONI UTILITA'!$E$4+'FUNZIONI UTILITA'!$F$4,
AND(B20&gt;'FUNZIONI UTILITA'!$B$4,B20&lt;='FUNZIONI UTILITA'!$B$5),B20*'FUNZIONI UTILITA'!$E$5+'FUNZIONI UTILITA'!$F$5,
AND(B20&gt;'FUNZIONI UTILITA'!$B$5,B20&lt;='FUNZIONI UTILITA'!$B$6),B20*'FUNZIONI UTILITA'!$E$6+'FUNZIONI UTILITA'!$F$6,
AND(B20&gt;'FUNZIONI UTILITA'!$B$6,B20&lt;='FUNZIONI UTILITA'!$B$7),B20*'FUNZIONI UTILITA'!$E$7+'FUNZIONI UTILITA'!$F$7,
B20&gt;'FUNZIONI UTILITA'!$B$7,B20*'FUNZIONI UTILITA'!$E$8+'FUNZIONI UTILITA'!$F$8)</f>
        <v>9.0457939937943301</v>
      </c>
      <c r="C50" s="186">
        <f>C20</f>
        <v>-12.809939943267247</v>
      </c>
      <c r="J50" s="18" cm="1">
        <f t="array" ref="J50">_xlfn.IFS(J20&lt;='FUNZIONI UTILITA'!$M$4,J20*'FUNZIONI UTILITA'!$P$4+'FUNZIONI UTILITA'!$Q$4,
AND(J20&gt;'FUNZIONI UTILITA'!$M$4,J20&lt;='FUNZIONI UTILITA'!$M$5),J20*'FUNZIONI UTILITA'!$P$5+'FUNZIONI UTILITA'!$Q$5,
AND(J20&gt;'FUNZIONI UTILITA'!$M$5,J20&lt;='FUNZIONI UTILITA'!$M$6),J20*'FUNZIONI UTILITA'!$P$6+'FUNZIONI UTILITA'!$Q$6,
AND(J20&gt;'FUNZIONI UTILITA'!$M$6,J20&lt;='FUNZIONI UTILITA'!$M$7),J20*'FUNZIONI UTILITA'!$P$7+'FUNZIONI UTILITA'!$Q$7,
J20&gt;'FUNZIONI UTILITA'!$M$7,J20*'FUNZIONI UTILITA'!$P$8+'FUNZIONI UTILITA'!$Q$8)</f>
        <v>85.005233961303915</v>
      </c>
      <c r="K50">
        <f>K20*100</f>
        <v>0</v>
      </c>
      <c r="L50" s="187" cm="1">
        <f t="array" ref="L50">_xlfn.IFS(L20&lt;'FUNZIONI UTILITA'!$T$3,'FUNZIONI UTILITA'!U36,
AND(L20&lt;'FUNZIONI UTILITA'!$T$4,L20&gt;='FUNZIONI UTILITA'!$T$3),L20*'FUNZIONI UTILITA'!$W$4+'FUNZIONI UTILITA'!$X$4,
AND(L20&lt;'FUNZIONI UTILITA'!$T$5,L20&gt;='FUNZIONI UTILITA'!$T$4),L20*'FUNZIONI UTILITA'!$W$5+'FUNZIONI UTILITA'!$X$5,
AND(L20&lt;'FUNZIONI UTILITA'!$T$6,L20&gt;='FUNZIONI UTILITA'!$T$5),L20*'FUNZIONI UTILITA'!$W$6+'FUNZIONI UTILITA'!$X$6,
L20&gt;='FUNZIONI UTILITA'!$T$6,L20*'FUNZIONI UTILITA'!$W$7+'FUNZIONI UTILITA'!$X$7)</f>
        <v>100</v>
      </c>
      <c r="M50" cm="1">
        <f t="array" ref="M50">IFERROR(_xlfn.IFS(M20&lt;='FUNZIONI UTILITA'!$Y$3,'FUNZIONI UTILITA'!$AA$3,AND(M20&lt;='FUNZIONI UTILITA'!$Y$4,M20&gt;'FUNZIONI UTILITA'!$Y$3),'FUNZIONI UTILITA'!$AA$4,
AND(M20&lt;='FUNZIONI UTILITA'!$Y$5,M20&gt;'FUNZIONI UTILITA'!$Y$4),'FUNZIONI UTILITA'!$AA$5,
AND(M20&lt;='FUNZIONI UTILITA'!$Y$6,M20&gt;'FUNZIONI UTILITA'!$Y$5),'FUNZIONI UTILITA'!$AA$6,
M20&gt;'FUNZIONI UTILITA'!$Y$7,'FUNZIONI UTILITA'!$AA$7),0)</f>
        <v>0</v>
      </c>
      <c r="N50" s="22" cm="1">
        <f t="array" ref="N50">IFERROR(_xlfn.IFS(N20='FUNZIONI UTILITA'!$AB$3,'FUNZIONI UTILITA'!$AC$3,
N20='FUNZIONI UTILITA'!$AB$4,'FUNZIONI UTILITA'!$AC$4,
N20='FUNZIONI UTILITA'!$AB$5,'FUNZIONI UTILITA'!$AC$5,
N20='FUNZIONI UTILITA'!$AB$6,'FUNZIONI UTILITA'!$AC$6,
N20='FUNZIONI UTILITA'!$AB$7,'FUNZIONI UTILITA'!$AC$7,
N20&gt;='FUNZIONI UTILITA'!$AB$8,'FUNZIONI UTILITA'!$AC$8),0)</f>
        <v>0</v>
      </c>
      <c r="O50" s="8" t="str">
        <f>'2022_DATI'!A19</f>
        <v>Moncalieri</v>
      </c>
    </row>
    <row r="51" spans="1:15" x14ac:dyDescent="0.3">
      <c r="A51" s="9" t="str">
        <f>'2022_DATI'!A20</f>
        <v>Reggio Emilia</v>
      </c>
      <c r="B51" s="185" cm="1">
        <f t="array" ref="B51">_xlfn.IFS(B21&lt;='FUNZIONI UTILITA'!$B$4,B21*'FUNZIONI UTILITA'!$E$4+'FUNZIONI UTILITA'!$F$4,
AND(B21&gt;'FUNZIONI UTILITA'!$B$4,B21&lt;='FUNZIONI UTILITA'!$B$5),B21*'FUNZIONI UTILITA'!$E$5+'FUNZIONI UTILITA'!$F$5,
AND(B21&gt;'FUNZIONI UTILITA'!$B$5,B21&lt;='FUNZIONI UTILITA'!$B$6),B21*'FUNZIONI UTILITA'!$E$6+'FUNZIONI UTILITA'!$F$6,
AND(B21&gt;'FUNZIONI UTILITA'!$B$6,B21&lt;='FUNZIONI UTILITA'!$B$7),B21*'FUNZIONI UTILITA'!$E$7+'FUNZIONI UTILITA'!$F$7,
B21&gt;'FUNZIONI UTILITA'!$B$7,B21*'FUNZIONI UTILITA'!$E$8+'FUNZIONI UTILITA'!$F$8)</f>
        <v>70.030803571428578</v>
      </c>
      <c r="C51" s="186">
        <f>C21</f>
        <v>51.559988215677777</v>
      </c>
      <c r="J51" s="18" cm="1">
        <f t="array" ref="J51">_xlfn.IFS(J21&lt;='FUNZIONI UTILITA'!$M$4,J21*'FUNZIONI UTILITA'!$P$4+'FUNZIONI UTILITA'!$Q$4,
AND(J21&gt;'FUNZIONI UTILITA'!$M$4,J21&lt;='FUNZIONI UTILITA'!$M$5),J21*'FUNZIONI UTILITA'!$P$5+'FUNZIONI UTILITA'!$Q$5,
AND(J21&gt;'FUNZIONI UTILITA'!$M$5,J21&lt;='FUNZIONI UTILITA'!$M$6),J21*'FUNZIONI UTILITA'!$P$6+'FUNZIONI UTILITA'!$Q$6,
AND(J21&gt;'FUNZIONI UTILITA'!$M$6,J21&lt;='FUNZIONI UTILITA'!$M$7),J21*'FUNZIONI UTILITA'!$P$7+'FUNZIONI UTILITA'!$Q$7,
J21&gt;'FUNZIONI UTILITA'!$M$7,J21*'FUNZIONI UTILITA'!$P$8+'FUNZIONI UTILITA'!$Q$8)</f>
        <v>87.280040288783439</v>
      </c>
      <c r="K51">
        <f>K21*100</f>
        <v>100</v>
      </c>
      <c r="L51" s="187" cm="1">
        <f t="array" ref="L51">_xlfn.IFS(L21&lt;'FUNZIONI UTILITA'!$T$3,'FUNZIONI UTILITA'!U37,
AND(L21&lt;'FUNZIONI UTILITA'!$T$4,L21&gt;='FUNZIONI UTILITA'!$T$3),L21*'FUNZIONI UTILITA'!$W$4+'FUNZIONI UTILITA'!$X$4,
AND(L21&lt;'FUNZIONI UTILITA'!$T$5,L21&gt;='FUNZIONI UTILITA'!$T$4),L21*'FUNZIONI UTILITA'!$W$5+'FUNZIONI UTILITA'!$X$5,
AND(L21&lt;'FUNZIONI UTILITA'!$T$6,L21&gt;='FUNZIONI UTILITA'!$T$5),L21*'FUNZIONI UTILITA'!$W$6+'FUNZIONI UTILITA'!$X$6,
L21&gt;='FUNZIONI UTILITA'!$T$6,L21*'FUNZIONI UTILITA'!$W$7+'FUNZIONI UTILITA'!$X$7)</f>
        <v>15.827780869841774</v>
      </c>
      <c r="M51" cm="1">
        <f t="array" ref="M51">IFERROR(_xlfn.IFS(M21&lt;='FUNZIONI UTILITA'!$Y$3,'FUNZIONI UTILITA'!$AA$3,AND(M21&lt;='FUNZIONI UTILITA'!$Y$4,M21&gt;'FUNZIONI UTILITA'!$Y$3),'FUNZIONI UTILITA'!$AA$4,
AND(M21&lt;='FUNZIONI UTILITA'!$Y$5,M21&gt;'FUNZIONI UTILITA'!$Y$4),'FUNZIONI UTILITA'!$AA$5,
AND(M21&lt;='FUNZIONI UTILITA'!$Y$6,M21&gt;'FUNZIONI UTILITA'!$Y$5),'FUNZIONI UTILITA'!$AA$6,
M21&gt;'FUNZIONI UTILITA'!$Y$7,'FUNZIONI UTILITA'!$AA$7),0)</f>
        <v>0</v>
      </c>
      <c r="N51" s="22" cm="1">
        <f t="array" ref="N51">IFERROR(_xlfn.IFS(N21='FUNZIONI UTILITA'!$AB$3,'FUNZIONI UTILITA'!$AC$3,
N21='FUNZIONI UTILITA'!$AB$4,'FUNZIONI UTILITA'!$AC$4,
N21='FUNZIONI UTILITA'!$AB$5,'FUNZIONI UTILITA'!$AC$5,
N21='FUNZIONI UTILITA'!$AB$6,'FUNZIONI UTILITA'!$AC$6,
N21='FUNZIONI UTILITA'!$AB$7,'FUNZIONI UTILITA'!$AC$7,
N21&gt;='FUNZIONI UTILITA'!$AB$8,'FUNZIONI UTILITA'!$AC$8),0)</f>
        <v>80</v>
      </c>
      <c r="O51" s="9" t="str">
        <f>'2022_DATI'!A20</f>
        <v>Reggio Emilia</v>
      </c>
    </row>
    <row r="52" spans="1:15" x14ac:dyDescent="0.3">
      <c r="A52" s="9" t="str">
        <f>'2022_DATI'!A21</f>
        <v>Torino Nord</v>
      </c>
      <c r="B52" s="185" cm="1">
        <f t="array" ref="B52">_xlfn.IFS(B22&lt;='FUNZIONI UTILITA'!$B$4,B22*'FUNZIONI UTILITA'!$E$4+'FUNZIONI UTILITA'!$F$4,
AND(B22&gt;'FUNZIONI UTILITA'!$B$4,B22&lt;='FUNZIONI UTILITA'!$B$5),B22*'FUNZIONI UTILITA'!$E$5+'FUNZIONI UTILITA'!$F$5,
AND(B22&gt;'FUNZIONI UTILITA'!$B$5,B22&lt;='FUNZIONI UTILITA'!$B$6),B22*'FUNZIONI UTILITA'!$E$6+'FUNZIONI UTILITA'!$F$6,
AND(B22&gt;'FUNZIONI UTILITA'!$B$6,B22&lt;='FUNZIONI UTILITA'!$B$7),B22*'FUNZIONI UTILITA'!$E$7+'FUNZIONI UTILITA'!$F$7,
B22&gt;'FUNZIONI UTILITA'!$B$7,B22*'FUNZIONI UTILITA'!$E$8+'FUNZIONI UTILITA'!$F$8)</f>
        <v>68.745160938352427</v>
      </c>
      <c r="C52" s="186">
        <f>C22</f>
        <v>25.66970745360587</v>
      </c>
      <c r="J52" s="18" cm="1">
        <f t="array" ref="J52">_xlfn.IFS(J22&lt;='FUNZIONI UTILITA'!$M$4,J22*'FUNZIONI UTILITA'!$P$4+'FUNZIONI UTILITA'!$Q$4,
AND(J22&gt;'FUNZIONI UTILITA'!$M$4,J22&lt;='FUNZIONI UTILITA'!$M$5),J22*'FUNZIONI UTILITA'!$P$5+'FUNZIONI UTILITA'!$Q$5,
AND(J22&gt;'FUNZIONI UTILITA'!$M$5,J22&lt;='FUNZIONI UTILITA'!$M$6),J22*'FUNZIONI UTILITA'!$P$6+'FUNZIONI UTILITA'!$Q$6,
AND(J22&gt;'FUNZIONI UTILITA'!$M$6,J22&lt;='FUNZIONI UTILITA'!$M$7),J22*'FUNZIONI UTILITA'!$P$7+'FUNZIONI UTILITA'!$Q$7,
J22&gt;'FUNZIONI UTILITA'!$M$7,J22*'FUNZIONI UTILITA'!$P$8+'FUNZIONI UTILITA'!$Q$8)</f>
        <v>87.340199547907474</v>
      </c>
      <c r="K52">
        <f>K22*100</f>
        <v>100</v>
      </c>
      <c r="L52" s="187" cm="1">
        <f t="array" ref="L52">_xlfn.IFS(L22&lt;'FUNZIONI UTILITA'!$T$3,'FUNZIONI UTILITA'!U38,
AND(L22&lt;'FUNZIONI UTILITA'!$T$4,L22&gt;='FUNZIONI UTILITA'!$T$3),L22*'FUNZIONI UTILITA'!$W$4+'FUNZIONI UTILITA'!$X$4,
AND(L22&lt;'FUNZIONI UTILITA'!$T$5,L22&gt;='FUNZIONI UTILITA'!$T$4),L22*'FUNZIONI UTILITA'!$W$5+'FUNZIONI UTILITA'!$X$5,
AND(L22&lt;'FUNZIONI UTILITA'!$T$6,L22&gt;='FUNZIONI UTILITA'!$T$5),L22*'FUNZIONI UTILITA'!$W$6+'FUNZIONI UTILITA'!$X$6,
L22&gt;='FUNZIONI UTILITA'!$T$6,L22*'FUNZIONI UTILITA'!$W$7+'FUNZIONI UTILITA'!$X$7)</f>
        <v>16.881731136508968</v>
      </c>
      <c r="M52" cm="1">
        <f t="array" ref="M52">IFERROR(_xlfn.IFS(M22&lt;='FUNZIONI UTILITA'!$Y$3,'FUNZIONI UTILITA'!$AA$3,AND(M22&lt;='FUNZIONI UTILITA'!$Y$4,M22&gt;'FUNZIONI UTILITA'!$Y$3),'FUNZIONI UTILITA'!$AA$4,
AND(M22&lt;='FUNZIONI UTILITA'!$Y$5,M22&gt;'FUNZIONI UTILITA'!$Y$4),'FUNZIONI UTILITA'!$AA$5,
AND(M22&lt;='FUNZIONI UTILITA'!$Y$6,M22&gt;'FUNZIONI UTILITA'!$Y$5),'FUNZIONI UTILITA'!$AA$6,
M22&gt;'FUNZIONI UTILITA'!$Y$7,'FUNZIONI UTILITA'!$AA$7),0)</f>
        <v>0</v>
      </c>
      <c r="N52" s="22" cm="1">
        <f t="array" ref="N52">IFERROR(_xlfn.IFS(N22='FUNZIONI UTILITA'!$AB$3,'FUNZIONI UTILITA'!$AC$3,
N22='FUNZIONI UTILITA'!$AB$4,'FUNZIONI UTILITA'!$AC$4,
N22='FUNZIONI UTILITA'!$AB$5,'FUNZIONI UTILITA'!$AC$5,
N22='FUNZIONI UTILITA'!$AB$6,'FUNZIONI UTILITA'!$AC$6,
N22='FUNZIONI UTILITA'!$AB$7,'FUNZIONI UTILITA'!$AC$7,
N22&gt;='FUNZIONI UTILITA'!$AB$8,'FUNZIONI UTILITA'!$AC$8),0)</f>
        <v>60</v>
      </c>
      <c r="O52" s="9" t="str">
        <f>'2022_DATI'!A21</f>
        <v>Torino Nord</v>
      </c>
    </row>
    <row r="53" spans="1:15" x14ac:dyDescent="0.3">
      <c r="A53" s="8" t="str">
        <f>'2022_DATI'!A22</f>
        <v>Turbigo</v>
      </c>
      <c r="B53" s="185" cm="1">
        <f t="array" ref="B53">_xlfn.IFS(B23&lt;='FUNZIONI UTILITA'!$B$4,B23*'FUNZIONI UTILITA'!$E$4+'FUNZIONI UTILITA'!$F$4,
AND(B23&gt;'FUNZIONI UTILITA'!$B$4,B23&lt;='FUNZIONI UTILITA'!$B$5),B23*'FUNZIONI UTILITA'!$E$5+'FUNZIONI UTILITA'!$F$5,
AND(B23&gt;'FUNZIONI UTILITA'!$B$5,B23&lt;='FUNZIONI UTILITA'!$B$6),B23*'FUNZIONI UTILITA'!$E$6+'FUNZIONI UTILITA'!$F$6,
AND(B23&gt;'FUNZIONI UTILITA'!$B$6,B23&lt;='FUNZIONI UTILITA'!$B$7),B23*'FUNZIONI UTILITA'!$E$7+'FUNZIONI UTILITA'!$F$7,
B23&gt;'FUNZIONI UTILITA'!$B$7,B23*'FUNZIONI UTILITA'!$E$8+'FUNZIONI UTILITA'!$F$8)</f>
        <v>24.977591364367211</v>
      </c>
      <c r="C53" s="186">
        <f>C23</f>
        <v>-12.854514662788199</v>
      </c>
      <c r="J53" s="18" cm="1">
        <f t="array" ref="J53">_xlfn.IFS(J23&lt;='FUNZIONI UTILITA'!$M$4,J23*'FUNZIONI UTILITA'!$P$4+'FUNZIONI UTILITA'!$Q$4,
AND(J23&gt;'FUNZIONI UTILITA'!$M$4,J23&lt;='FUNZIONI UTILITA'!$M$5),J23*'FUNZIONI UTILITA'!$P$5+'FUNZIONI UTILITA'!$Q$5,
AND(J23&gt;'FUNZIONI UTILITA'!$M$5,J23&lt;='FUNZIONI UTILITA'!$M$6),J23*'FUNZIONI UTILITA'!$P$6+'FUNZIONI UTILITA'!$Q$6,
AND(J23&gt;'FUNZIONI UTILITA'!$M$6,J23&lt;='FUNZIONI UTILITA'!$M$7),J23*'FUNZIONI UTILITA'!$P$7+'FUNZIONI UTILITA'!$Q$7,
J23&gt;'FUNZIONI UTILITA'!$M$7,J23*'FUNZIONI UTILITA'!$P$8+'FUNZIONI UTILITA'!$Q$8)</f>
        <v>89.973799877225304</v>
      </c>
      <c r="K53">
        <f>K23*100</f>
        <v>0</v>
      </c>
      <c r="L53" s="187" cm="1">
        <f t="array" ref="L53">_xlfn.IFS(L23&lt;'FUNZIONI UTILITA'!$T$3,'FUNZIONI UTILITA'!U39,
AND(L23&lt;'FUNZIONI UTILITA'!$T$4,L23&gt;='FUNZIONI UTILITA'!$T$3),L23*'FUNZIONI UTILITA'!$W$4+'FUNZIONI UTILITA'!$X$4,
AND(L23&lt;'FUNZIONI UTILITA'!$T$5,L23&gt;='FUNZIONI UTILITA'!$T$4),L23*'FUNZIONI UTILITA'!$W$5+'FUNZIONI UTILITA'!$X$5,
AND(L23&lt;'FUNZIONI UTILITA'!$T$6,L23&gt;='FUNZIONI UTILITA'!$T$5),L23*'FUNZIONI UTILITA'!$W$6+'FUNZIONI UTILITA'!$X$6,
L23&gt;='FUNZIONI UTILITA'!$T$6,L23*'FUNZIONI UTILITA'!$W$7+'FUNZIONI UTILITA'!$X$7)</f>
        <v>100</v>
      </c>
      <c r="M53" cm="1">
        <f t="array" ref="M53">IFERROR(_xlfn.IFS(M23&lt;='FUNZIONI UTILITA'!$Y$3,'FUNZIONI UTILITA'!$AA$3,AND(M23&lt;='FUNZIONI UTILITA'!$Y$4,M23&gt;'FUNZIONI UTILITA'!$Y$3),'FUNZIONI UTILITA'!$AA$4,
AND(M23&lt;='FUNZIONI UTILITA'!$Y$5,M23&gt;'FUNZIONI UTILITA'!$Y$4),'FUNZIONI UTILITA'!$AA$5,
AND(M23&lt;='FUNZIONI UTILITA'!$Y$6,M23&gt;'FUNZIONI UTILITA'!$Y$5),'FUNZIONI UTILITA'!$AA$6,
M23&gt;'FUNZIONI UTILITA'!$Y$7,'FUNZIONI UTILITA'!$AA$7),0)</f>
        <v>0</v>
      </c>
      <c r="N53" s="22" cm="1">
        <f t="array" ref="N53">IFERROR(_xlfn.IFS(N23='FUNZIONI UTILITA'!$AB$3,'FUNZIONI UTILITA'!$AC$3,
N23='FUNZIONI UTILITA'!$AB$4,'FUNZIONI UTILITA'!$AC$4,
N23='FUNZIONI UTILITA'!$AB$5,'FUNZIONI UTILITA'!$AC$5,
N23='FUNZIONI UTILITA'!$AB$6,'FUNZIONI UTILITA'!$AC$6,
N23='FUNZIONI UTILITA'!$AB$7,'FUNZIONI UTILITA'!$AC$7,
N23&gt;='FUNZIONI UTILITA'!$AB$8,'FUNZIONI UTILITA'!$AC$8),0)</f>
        <v>100</v>
      </c>
      <c r="O53" s="8" t="str">
        <f>'2022_DATI'!A22</f>
        <v>Turbigo</v>
      </c>
    </row>
    <row r="54" spans="1:15" x14ac:dyDescent="0.3">
      <c r="A54" s="10" t="str">
        <f>'2022_DATI'!A23</f>
        <v>Aprilia</v>
      </c>
      <c r="B54" s="185" cm="1">
        <f t="array" ref="B54">_xlfn.IFS(B24&lt;='FUNZIONI UTILITA'!$B$4,B24*'FUNZIONI UTILITA'!$E$4+'FUNZIONI UTILITA'!$F$4,
AND(B24&gt;'FUNZIONI UTILITA'!$B$4,B24&lt;='FUNZIONI UTILITA'!$B$5),B24*'FUNZIONI UTILITA'!$E$5+'FUNZIONI UTILITA'!$F$5,
AND(B24&gt;'FUNZIONI UTILITA'!$B$5,B24&lt;='FUNZIONI UTILITA'!$B$6),B24*'FUNZIONI UTILITA'!$E$6+'FUNZIONI UTILITA'!$F$6,
AND(B24&gt;'FUNZIONI UTILITA'!$B$6,B24&lt;='FUNZIONI UTILITA'!$B$7),B24*'FUNZIONI UTILITA'!$E$7+'FUNZIONI UTILITA'!$F$7,
B24&gt;'FUNZIONI UTILITA'!$B$7,B24*'FUNZIONI UTILITA'!$E$8+'FUNZIONI UTILITA'!$F$8)</f>
        <v>93.549250000000001</v>
      </c>
      <c r="C54" s="186">
        <f>C24</f>
        <v>32.753185005304587</v>
      </c>
      <c r="J54" s="18" cm="1">
        <f t="array" ref="J54">_xlfn.IFS(J24&lt;='FUNZIONI UTILITA'!$M$4,J24*'FUNZIONI UTILITA'!$P$4+'FUNZIONI UTILITA'!$Q$4,
AND(J24&gt;'FUNZIONI UTILITA'!$M$4,J24&lt;='FUNZIONI UTILITA'!$M$5),J24*'FUNZIONI UTILITA'!$P$5+'FUNZIONI UTILITA'!$Q$5,
AND(J24&gt;'FUNZIONI UTILITA'!$M$5,J24&lt;='FUNZIONI UTILITA'!$M$6),J24*'FUNZIONI UTILITA'!$P$6+'FUNZIONI UTILITA'!$Q$6,
AND(J24&gt;'FUNZIONI UTILITA'!$M$6,J24&lt;='FUNZIONI UTILITA'!$M$7),J24*'FUNZIONI UTILITA'!$P$7+'FUNZIONI UTILITA'!$Q$7,
J24&gt;'FUNZIONI UTILITA'!$M$7,J24*'FUNZIONI UTILITA'!$P$8+'FUNZIONI UTILITA'!$Q$8)</f>
        <v>97.547140754936521</v>
      </c>
      <c r="K54">
        <f>K24*100</f>
        <v>0</v>
      </c>
      <c r="L54" s="187" cm="1">
        <f t="array" ref="L54">_xlfn.IFS(L24&lt;'FUNZIONI UTILITA'!$T$3,'FUNZIONI UTILITA'!U40,
AND(L24&lt;'FUNZIONI UTILITA'!$T$4,L24&gt;='FUNZIONI UTILITA'!$T$3),L24*'FUNZIONI UTILITA'!$W$4+'FUNZIONI UTILITA'!$X$4,
AND(L24&lt;'FUNZIONI UTILITA'!$T$5,L24&gt;='FUNZIONI UTILITA'!$T$4),L24*'FUNZIONI UTILITA'!$W$5+'FUNZIONI UTILITA'!$X$5,
AND(L24&lt;'FUNZIONI UTILITA'!$T$6,L24&gt;='FUNZIONI UTILITA'!$T$5),L24*'FUNZIONI UTILITA'!$W$6+'FUNZIONI UTILITA'!$X$6,
L24&gt;='FUNZIONI UTILITA'!$T$6,L24*'FUNZIONI UTILITA'!$W$7+'FUNZIONI UTILITA'!$X$7)</f>
        <v>100</v>
      </c>
      <c r="M54" cm="1">
        <f t="array" ref="M54">IFERROR(_xlfn.IFS(M24&lt;='FUNZIONI UTILITA'!$Y$3,'FUNZIONI UTILITA'!$AA$3,AND(M24&lt;='FUNZIONI UTILITA'!$Y$4,M24&gt;'FUNZIONI UTILITA'!$Y$3),'FUNZIONI UTILITA'!$AA$4,
AND(M24&lt;='FUNZIONI UTILITA'!$Y$5,M24&gt;'FUNZIONI UTILITA'!$Y$4),'FUNZIONI UTILITA'!$AA$5,
AND(M24&lt;='FUNZIONI UTILITA'!$Y$6,M24&gt;'FUNZIONI UTILITA'!$Y$5),'FUNZIONI UTILITA'!$AA$6,
M24&gt;'FUNZIONI UTILITA'!$Y$7,'FUNZIONI UTILITA'!$AA$7),0)</f>
        <v>0</v>
      </c>
      <c r="N54" s="22" cm="1">
        <f t="array" ref="N54">IFERROR(_xlfn.IFS(N24='FUNZIONI UTILITA'!$AB$3,'FUNZIONI UTILITA'!$AC$3,
N24='FUNZIONI UTILITA'!$AB$4,'FUNZIONI UTILITA'!$AC$4,
N24='FUNZIONI UTILITA'!$AB$5,'FUNZIONI UTILITA'!$AC$5,
N24='FUNZIONI UTILITA'!$AB$6,'FUNZIONI UTILITA'!$AC$6,
N24='FUNZIONI UTILITA'!$AB$7,'FUNZIONI UTILITA'!$AC$7,
N24&gt;='FUNZIONI UTILITA'!$AB$8,'FUNZIONI UTILITA'!$AC$8),0)</f>
        <v>0</v>
      </c>
      <c r="O54" s="10" t="str">
        <f>'2022_DATI'!A23</f>
        <v>Aprilia</v>
      </c>
    </row>
    <row r="55" spans="1:15" x14ac:dyDescent="0.3">
      <c r="A55" s="10" t="str">
        <f>'2022_DATI'!A24</f>
        <v>Lodi</v>
      </c>
      <c r="B55" s="185" cm="1">
        <f t="array" ref="B55">_xlfn.IFS(B25&lt;='FUNZIONI UTILITA'!$B$4,B25*'FUNZIONI UTILITA'!$E$4+'FUNZIONI UTILITA'!$F$4,
AND(B25&gt;'FUNZIONI UTILITA'!$B$4,B25&lt;='FUNZIONI UTILITA'!$B$5),B25*'FUNZIONI UTILITA'!$E$5+'FUNZIONI UTILITA'!$F$5,
AND(B25&gt;'FUNZIONI UTILITA'!$B$5,B25&lt;='FUNZIONI UTILITA'!$B$6),B25*'FUNZIONI UTILITA'!$E$6+'FUNZIONI UTILITA'!$F$6,
AND(B25&gt;'FUNZIONI UTILITA'!$B$6,B25&lt;='FUNZIONI UTILITA'!$B$7),B25*'FUNZIONI UTILITA'!$E$7+'FUNZIONI UTILITA'!$F$7,
B25&gt;'FUNZIONI UTILITA'!$B$7,B25*'FUNZIONI UTILITA'!$E$8+'FUNZIONI UTILITA'!$F$8)</f>
        <v>85.480898876404495</v>
      </c>
      <c r="C55" s="186">
        <f>C25</f>
        <v>4.1910483995503727</v>
      </c>
      <c r="J55" s="18" cm="1">
        <f t="array" ref="J55">_xlfn.IFS(J25&lt;='FUNZIONI UTILITA'!$M$4,J25*'FUNZIONI UTILITA'!$P$4+'FUNZIONI UTILITA'!$Q$4,
AND(J25&gt;'FUNZIONI UTILITA'!$M$4,J25&lt;='FUNZIONI UTILITA'!$M$5),J25*'FUNZIONI UTILITA'!$P$5+'FUNZIONI UTILITA'!$Q$5,
AND(J25&gt;'FUNZIONI UTILITA'!$M$5,J25&lt;='FUNZIONI UTILITA'!$M$6),J25*'FUNZIONI UTILITA'!$P$6+'FUNZIONI UTILITA'!$Q$6,
AND(J25&gt;'FUNZIONI UTILITA'!$M$6,J25&lt;='FUNZIONI UTILITA'!$M$7),J25*'FUNZIONI UTILITA'!$P$7+'FUNZIONI UTILITA'!$Q$7,
J25&gt;'FUNZIONI UTILITA'!$M$7,J25*'FUNZIONI UTILITA'!$P$8+'FUNZIONI UTILITA'!$Q$8)</f>
        <v>97.176916783275601</v>
      </c>
      <c r="K55">
        <f>K25*100</f>
        <v>100</v>
      </c>
      <c r="L55" s="187" cm="1">
        <f t="array" ref="L55">_xlfn.IFS(L25&lt;'FUNZIONI UTILITA'!$T$3,'FUNZIONI UTILITA'!U41,
AND(L25&lt;'FUNZIONI UTILITA'!$T$4,L25&gt;='FUNZIONI UTILITA'!$T$3),L25*'FUNZIONI UTILITA'!$W$4+'FUNZIONI UTILITA'!$X$4,
AND(L25&lt;'FUNZIONI UTILITA'!$T$5,L25&gt;='FUNZIONI UTILITA'!$T$4),L25*'FUNZIONI UTILITA'!$W$5+'FUNZIONI UTILITA'!$X$5,
AND(L25&lt;'FUNZIONI UTILITA'!$T$6,L25&gt;='FUNZIONI UTILITA'!$T$5),L25*'FUNZIONI UTILITA'!$W$6+'FUNZIONI UTILITA'!$X$6,
L25&gt;='FUNZIONI UTILITA'!$T$6,L25*'FUNZIONI UTILITA'!$W$7+'FUNZIONI UTILITA'!$X$7)</f>
        <v>100</v>
      </c>
      <c r="M55" cm="1">
        <f t="array" ref="M55">IFERROR(_xlfn.IFS(M25&lt;='FUNZIONI UTILITA'!$Y$3,'FUNZIONI UTILITA'!$AA$3,AND(M25&lt;='FUNZIONI UTILITA'!$Y$4,M25&gt;'FUNZIONI UTILITA'!$Y$3),'FUNZIONI UTILITA'!$AA$4,
AND(M25&lt;='FUNZIONI UTILITA'!$Y$5,M25&gt;'FUNZIONI UTILITA'!$Y$4),'FUNZIONI UTILITA'!$AA$5,
AND(M25&lt;='FUNZIONI UTILITA'!$Y$6,M25&gt;'FUNZIONI UTILITA'!$Y$5),'FUNZIONI UTILITA'!$AA$6,
M25&gt;'FUNZIONI UTILITA'!$Y$7,'FUNZIONI UTILITA'!$AA$7),0)</f>
        <v>0</v>
      </c>
      <c r="N55" s="22" cm="1">
        <f t="array" ref="N55">IFERROR(_xlfn.IFS(N25='FUNZIONI UTILITA'!$AB$3,'FUNZIONI UTILITA'!$AC$3,
N25='FUNZIONI UTILITA'!$AB$4,'FUNZIONI UTILITA'!$AC$4,
N25='FUNZIONI UTILITA'!$AB$5,'FUNZIONI UTILITA'!$AC$5,
N25='FUNZIONI UTILITA'!$AB$6,'FUNZIONI UTILITA'!$AC$6,
N25='FUNZIONI UTILITA'!$AB$7,'FUNZIONI UTILITA'!$AC$7,
N25&gt;='FUNZIONI UTILITA'!$AB$8,'FUNZIONI UTILITA'!$AC$8),0)</f>
        <v>0</v>
      </c>
      <c r="O55" s="10" t="str">
        <f>'2022_DATI'!A24</f>
        <v>Lodi</v>
      </c>
    </row>
    <row r="56" spans="1:15" x14ac:dyDescent="0.3">
      <c r="A56" s="10" t="str">
        <f>'2022_DATI'!A25</f>
        <v>Modugno</v>
      </c>
      <c r="B56" s="185" cm="1">
        <f t="array" ref="B56">_xlfn.IFS(B26&lt;='FUNZIONI UTILITA'!$B$4,B26*'FUNZIONI UTILITA'!$E$4+'FUNZIONI UTILITA'!$F$4,
AND(B26&gt;'FUNZIONI UTILITA'!$B$4,B26&lt;='FUNZIONI UTILITA'!$B$5),B26*'FUNZIONI UTILITA'!$E$5+'FUNZIONI UTILITA'!$F$5,
AND(B26&gt;'FUNZIONI UTILITA'!$B$5,B26&lt;='FUNZIONI UTILITA'!$B$6),B26*'FUNZIONI UTILITA'!$E$6+'FUNZIONI UTILITA'!$F$6,
AND(B26&gt;'FUNZIONI UTILITA'!$B$6,B26&lt;='FUNZIONI UTILITA'!$B$7),B26*'FUNZIONI UTILITA'!$E$7+'FUNZIONI UTILITA'!$F$7,
B26&gt;'FUNZIONI UTILITA'!$B$7,B26*'FUNZIONI UTILITA'!$E$8+'FUNZIONI UTILITA'!$F$8)</f>
        <v>92.465555555555554</v>
      </c>
      <c r="C56" s="186">
        <f>C26</f>
        <v>126.72846398550573</v>
      </c>
      <c r="J56" s="18" cm="1">
        <f t="array" ref="J56">_xlfn.IFS(J26&lt;='FUNZIONI UTILITA'!$M$4,J26*'FUNZIONI UTILITA'!$P$4+'FUNZIONI UTILITA'!$Q$4,
AND(J26&gt;'FUNZIONI UTILITA'!$M$4,J26&lt;='FUNZIONI UTILITA'!$M$5),J26*'FUNZIONI UTILITA'!$P$5+'FUNZIONI UTILITA'!$Q$5,
AND(J26&gt;'FUNZIONI UTILITA'!$M$5,J26&lt;='FUNZIONI UTILITA'!$M$6),J26*'FUNZIONI UTILITA'!$P$6+'FUNZIONI UTILITA'!$Q$6,
AND(J26&gt;'FUNZIONI UTILITA'!$M$6,J26&lt;='FUNZIONI UTILITA'!$M$7),J26*'FUNZIONI UTILITA'!$P$7+'FUNZIONI UTILITA'!$Q$7,
J26&gt;'FUNZIONI UTILITA'!$M$7,J26*'FUNZIONI UTILITA'!$P$8+'FUNZIONI UTILITA'!$Q$8)</f>
        <v>96.388567614276369</v>
      </c>
      <c r="K56">
        <f>K26*100</f>
        <v>100</v>
      </c>
      <c r="L56" s="187" cm="1">
        <f t="array" ref="L56">_xlfn.IFS(L26&lt;'FUNZIONI UTILITA'!$T$3,'FUNZIONI UTILITA'!U42,
AND(L26&lt;'FUNZIONI UTILITA'!$T$4,L26&gt;='FUNZIONI UTILITA'!$T$3),L26*'FUNZIONI UTILITA'!$W$4+'FUNZIONI UTILITA'!$X$4,
AND(L26&lt;'FUNZIONI UTILITA'!$T$5,L26&gt;='FUNZIONI UTILITA'!$T$4),L26*'FUNZIONI UTILITA'!$W$5+'FUNZIONI UTILITA'!$X$5,
AND(L26&lt;'FUNZIONI UTILITA'!$T$6,L26&gt;='FUNZIONI UTILITA'!$T$5),L26*'FUNZIONI UTILITA'!$W$6+'FUNZIONI UTILITA'!$X$6,
L26&gt;='FUNZIONI UTILITA'!$T$6,L26*'FUNZIONI UTILITA'!$W$7+'FUNZIONI UTILITA'!$X$7)</f>
        <v>100</v>
      </c>
      <c r="M56" cm="1">
        <f t="array" ref="M56">IFERROR(_xlfn.IFS(M26&lt;='FUNZIONI UTILITA'!$Y$3,'FUNZIONI UTILITA'!$AA$3,AND(M26&lt;='FUNZIONI UTILITA'!$Y$4,M26&gt;'FUNZIONI UTILITA'!$Y$3),'FUNZIONI UTILITA'!$AA$4,
AND(M26&lt;='FUNZIONI UTILITA'!$Y$5,M26&gt;'FUNZIONI UTILITA'!$Y$4),'FUNZIONI UTILITA'!$AA$5,
AND(M26&lt;='FUNZIONI UTILITA'!$Y$6,M26&gt;'FUNZIONI UTILITA'!$Y$5),'FUNZIONI UTILITA'!$AA$6,
M26&gt;'FUNZIONI UTILITA'!$Y$7,'FUNZIONI UTILITA'!$AA$7),0)</f>
        <v>0</v>
      </c>
      <c r="N56" s="22" cm="1">
        <f t="array" ref="N56">IFERROR(_xlfn.IFS(N26='FUNZIONI UTILITA'!$AB$3,'FUNZIONI UTILITA'!$AC$3,
N26='FUNZIONI UTILITA'!$AB$4,'FUNZIONI UTILITA'!$AC$4,
N26='FUNZIONI UTILITA'!$AB$5,'FUNZIONI UTILITA'!$AC$5,
N26='FUNZIONI UTILITA'!$AB$6,'FUNZIONI UTILITA'!$AC$6,
N26='FUNZIONI UTILITA'!$AB$7,'FUNZIONI UTILITA'!$AC$7,
N26&gt;='FUNZIONI UTILITA'!$AB$8,'FUNZIONI UTILITA'!$AC$8),0)</f>
        <v>0</v>
      </c>
      <c r="O56" s="10" t="str">
        <f>'2022_DATI'!A25</f>
        <v>Modugno</v>
      </c>
    </row>
    <row r="57" spans="1:15" x14ac:dyDescent="0.3">
      <c r="A57" s="10" t="str">
        <f>'2022_DATI'!A26</f>
        <v>Termoli</v>
      </c>
      <c r="B57" s="208" cm="1">
        <f t="array" ref="B57">_xlfn.IFS(B27&lt;='FUNZIONI UTILITA'!$B$4,B27*'FUNZIONI UTILITA'!$E$4+'FUNZIONI UTILITA'!$F$4,
AND(B27&gt;'FUNZIONI UTILITA'!$B$4,B27&lt;='FUNZIONI UTILITA'!$B$5),B27*'FUNZIONI UTILITA'!$E$5+'FUNZIONI UTILITA'!$F$5,
AND(B27&gt;'FUNZIONI UTILITA'!$B$5,B27&lt;='FUNZIONI UTILITA'!$B$6),B27*'FUNZIONI UTILITA'!$E$6+'FUNZIONI UTILITA'!$F$6,
AND(B27&gt;'FUNZIONI UTILITA'!$B$6,B27&lt;='FUNZIONI UTILITA'!$B$7),B27*'FUNZIONI UTILITA'!$E$7+'FUNZIONI UTILITA'!$F$7,
B27&gt;'FUNZIONI UTILITA'!$B$7,B27*'FUNZIONI UTILITA'!$E$8+'FUNZIONI UTILITA'!$F$8)</f>
        <v>66.971224095053884</v>
      </c>
      <c r="C57" s="209">
        <f>C27</f>
        <v>-8.5676299661152893</v>
      </c>
      <c r="D57" s="23"/>
      <c r="E57" s="23"/>
      <c r="F57" s="23"/>
      <c r="G57" s="23"/>
      <c r="H57" s="23"/>
      <c r="I57" s="23"/>
      <c r="J57" s="210" cm="1">
        <f t="array" ref="J57">_xlfn.IFS(J27&lt;='FUNZIONI UTILITA'!$M$4,J27*'FUNZIONI UTILITA'!$P$4+'FUNZIONI UTILITA'!$Q$4,
AND(J27&gt;'FUNZIONI UTILITA'!$M$4,J27&lt;='FUNZIONI UTILITA'!$M$5),J27*'FUNZIONI UTILITA'!$P$5+'FUNZIONI UTILITA'!$Q$5,
AND(J27&gt;'FUNZIONI UTILITA'!$M$5,J27&lt;='FUNZIONI UTILITA'!$M$6),J27*'FUNZIONI UTILITA'!$P$6+'FUNZIONI UTILITA'!$Q$6,
AND(J27&gt;'FUNZIONI UTILITA'!$M$6,J27&lt;='FUNZIONI UTILITA'!$M$7),J27*'FUNZIONI UTILITA'!$P$7+'FUNZIONI UTILITA'!$Q$7,
J27&gt;'FUNZIONI UTILITA'!$M$7,J27*'FUNZIONI UTILITA'!$P$8+'FUNZIONI UTILITA'!$Q$8)</f>
        <v>69.38391601270375</v>
      </c>
      <c r="K57" s="23">
        <f>K27*100</f>
        <v>0</v>
      </c>
      <c r="L57" s="211" cm="1">
        <f t="array" ref="L57">_xlfn.IFS(L27&lt;'FUNZIONI UTILITA'!$T$3,'FUNZIONI UTILITA'!U43,
AND(L27&lt;'FUNZIONI UTILITA'!$T$4,L27&gt;='FUNZIONI UTILITA'!$T$3),L27*'FUNZIONI UTILITA'!$W$4+'FUNZIONI UTILITA'!$X$4,
AND(L27&lt;'FUNZIONI UTILITA'!$T$5,L27&gt;='FUNZIONI UTILITA'!$T$4),L27*'FUNZIONI UTILITA'!$W$5+'FUNZIONI UTILITA'!$X$5,
AND(L27&lt;'FUNZIONI UTILITA'!$T$6,L27&gt;='FUNZIONI UTILITA'!$T$5),L27*'FUNZIONI UTILITA'!$W$6+'FUNZIONI UTILITA'!$X$6,
L27&gt;='FUNZIONI UTILITA'!$T$6,L27*'FUNZIONI UTILITA'!$W$7+'FUNZIONI UTILITA'!$X$7)</f>
        <v>40.927519042235765</v>
      </c>
      <c r="M57" s="23" cm="1">
        <f t="array" ref="M57">IFERROR(_xlfn.IFS(M27&lt;='FUNZIONI UTILITA'!$Y$3,'FUNZIONI UTILITA'!$AA$3,AND(M27&lt;='FUNZIONI UTILITA'!$Y$4,M27&gt;'FUNZIONI UTILITA'!$Y$3),'FUNZIONI UTILITA'!$AA$4,
AND(M27&lt;='FUNZIONI UTILITA'!$Y$5,M27&gt;'FUNZIONI UTILITA'!$Y$4),'FUNZIONI UTILITA'!$AA$5,
AND(M27&lt;='FUNZIONI UTILITA'!$Y$6,M27&gt;'FUNZIONI UTILITA'!$Y$5),'FUNZIONI UTILITA'!$AA$6,
M27&gt;'FUNZIONI UTILITA'!$Y$7,'FUNZIONI UTILITA'!$AA$7),0)</f>
        <v>80</v>
      </c>
      <c r="N57" s="24" cm="1">
        <f t="array" ref="N57">IFERROR(_xlfn.IFS(N27='FUNZIONI UTILITA'!$AB$3,'FUNZIONI UTILITA'!$AC$3,
N27='FUNZIONI UTILITA'!$AB$4,'FUNZIONI UTILITA'!$AC$4,
N27='FUNZIONI UTILITA'!$AB$5,'FUNZIONI UTILITA'!$AC$5,
N27='FUNZIONI UTILITA'!$AB$6,'FUNZIONI UTILITA'!$AC$6,
N27='FUNZIONI UTILITA'!$AB$7,'FUNZIONI UTILITA'!$AC$7,
N27&gt;='FUNZIONI UTILITA'!$AB$8,'FUNZIONI UTILITA'!$AC$8),0)</f>
        <v>0</v>
      </c>
      <c r="O57" s="10" t="str">
        <f>'2022_DATI'!A26</f>
        <v>Termoli</v>
      </c>
    </row>
    <row r="58" spans="1:15" x14ac:dyDescent="0.3">
      <c r="A58" s="239" t="str">
        <f>'2022_DATI'!A27</f>
        <v>NOME IMPIANTO</v>
      </c>
      <c r="B58" s="208" t="e" cm="1">
        <f t="array" ref="B58">_xlfn.IFS(B28&lt;='FUNZIONI UTILITA'!$B$4,B28*'FUNZIONI UTILITA'!$E$4+'FUNZIONI UTILITA'!$F$4,
AND(B28&gt;'FUNZIONI UTILITA'!$B$4,B28&lt;='FUNZIONI UTILITA'!$B$5),B28*'FUNZIONI UTILITA'!$E$5+'FUNZIONI UTILITA'!$F$5,
AND(B28&gt;'FUNZIONI UTILITA'!$B$5,B28&lt;='FUNZIONI UTILITA'!$B$6),B28*'FUNZIONI UTILITA'!$E$6+'FUNZIONI UTILITA'!$F$6,
AND(B28&gt;'FUNZIONI UTILITA'!$B$6,B28&lt;='FUNZIONI UTILITA'!$B$7),B28*'FUNZIONI UTILITA'!$E$7+'FUNZIONI UTILITA'!$F$7,
B28&gt;'FUNZIONI UTILITA'!$B$7,B28*'FUNZIONI UTILITA'!$E$8+'FUNZIONI UTILITA'!$F$8)</f>
        <v>#DIV/0!</v>
      </c>
      <c r="C58" s="209" t="e">
        <f>C28</f>
        <v>#DIV/0!</v>
      </c>
      <c r="D58" s="23"/>
      <c r="E58" s="23"/>
      <c r="F58" s="23"/>
      <c r="G58" s="23"/>
      <c r="H58" s="23"/>
      <c r="I58" s="23"/>
      <c r="J58" s="210" t="e" cm="1">
        <f t="array" ref="J58">_xlfn.IFS(J28&lt;='FUNZIONI UTILITA'!$M$4,J28*'FUNZIONI UTILITA'!$P$4+'FUNZIONI UTILITA'!$Q$4,
AND(J28&gt;'FUNZIONI UTILITA'!$M$4,J28&lt;='FUNZIONI UTILITA'!$M$5),J28*'FUNZIONI UTILITA'!$P$5+'FUNZIONI UTILITA'!$Q$5,
AND(J28&gt;'FUNZIONI UTILITA'!$M$5,J28&lt;='FUNZIONI UTILITA'!$M$6),J28*'FUNZIONI UTILITA'!$P$6+'FUNZIONI UTILITA'!$Q$6,
AND(J28&gt;'FUNZIONI UTILITA'!$M$6,J28&lt;='FUNZIONI UTILITA'!$M$7),J28*'FUNZIONI UTILITA'!$P$7+'FUNZIONI UTILITA'!$Q$7,
J28&gt;'FUNZIONI UTILITA'!$M$7,J28*'FUNZIONI UTILITA'!$P$8+'FUNZIONI UTILITA'!$Q$8)</f>
        <v>#DIV/0!</v>
      </c>
      <c r="K58" s="23">
        <f>K28*100</f>
        <v>0</v>
      </c>
      <c r="L58" s="211" cm="1">
        <f t="array" ref="L58">_xlfn.IFS(L28&lt;'FUNZIONI UTILITA'!$T$3,'FUNZIONI UTILITA'!U44,
AND(L28&lt;'FUNZIONI UTILITA'!$T$4,L28&gt;='FUNZIONI UTILITA'!$T$3),L28*'FUNZIONI UTILITA'!$W$4+'FUNZIONI UTILITA'!$X$4,
AND(L28&lt;'FUNZIONI UTILITA'!$T$5,L28&gt;='FUNZIONI UTILITA'!$T$4),L28*'FUNZIONI UTILITA'!$W$5+'FUNZIONI UTILITA'!$X$5,
AND(L28&lt;'FUNZIONI UTILITA'!$T$6,L28&gt;='FUNZIONI UTILITA'!$T$5),L28*'FUNZIONI UTILITA'!$W$6+'FUNZIONI UTILITA'!$X$6,
L28&gt;='FUNZIONI UTILITA'!$T$6,L28*'FUNZIONI UTILITA'!$W$7+'FUNZIONI UTILITA'!$X$7)</f>
        <v>100</v>
      </c>
      <c r="M58" s="23" cm="1">
        <f t="array" ref="M58">IFERROR(_xlfn.IFS(M28&lt;='FUNZIONI UTILITA'!$Y$3,'FUNZIONI UTILITA'!$AA$3,AND(M28&lt;='FUNZIONI UTILITA'!$Y$4,M28&gt;'FUNZIONI UTILITA'!$Y$3),'FUNZIONI UTILITA'!$AA$4,
AND(M28&lt;='FUNZIONI UTILITA'!$Y$5,M28&gt;'FUNZIONI UTILITA'!$Y$4),'FUNZIONI UTILITA'!$AA$5,
AND(M28&lt;='FUNZIONI UTILITA'!$Y$6,M28&gt;'FUNZIONI UTILITA'!$Y$5),'FUNZIONI UTILITA'!$AA$6,
M28&gt;'FUNZIONI UTILITA'!$Y$7,'FUNZIONI UTILITA'!$AA$7),0)</f>
        <v>0</v>
      </c>
      <c r="N58" s="24" cm="1">
        <f t="array" ref="N58">IFERROR(_xlfn.IFS(N28='FUNZIONI UTILITA'!$AB$3,'FUNZIONI UTILITA'!$AC$3,
N28='FUNZIONI UTILITA'!$AB$4,'FUNZIONI UTILITA'!$AC$4,
N28='FUNZIONI UTILITA'!$AB$5,'FUNZIONI UTILITA'!$AC$5,
N28='FUNZIONI UTILITA'!$AB$6,'FUNZIONI UTILITA'!$AC$6,
N28='FUNZIONI UTILITA'!$AB$7,'FUNZIONI UTILITA'!$AC$7,
N28&gt;='FUNZIONI UTILITA'!$AB$8,'FUNZIONI UTILITA'!$AC$8),0)</f>
        <v>0</v>
      </c>
      <c r="O58" s="239" t="str">
        <f>'2022_DATI'!A27</f>
        <v>NOME IMPIANTO</v>
      </c>
    </row>
  </sheetData>
  <autoFilter ref="A3:O3" xr:uid="{E777DDDF-F49F-439E-A3A5-1DEA3DD2D78A}"/>
  <mergeCells count="3">
    <mergeCell ref="C2:H2"/>
    <mergeCell ref="C1:I1"/>
    <mergeCell ref="D33:I33"/>
  </mergeCells>
  <phoneticPr fontId="9" type="noConversion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AF56B-6DAA-43FE-8C38-28EC4BCD7C76}">
  <dimension ref="A1:AC35"/>
  <sheetViews>
    <sheetView topLeftCell="J1" zoomScale="85" zoomScaleNormal="85" workbookViewId="0">
      <selection activeCell="Y11" sqref="Y11"/>
    </sheetView>
  </sheetViews>
  <sheetFormatPr defaultColWidth="8.88671875" defaultRowHeight="15.05" x14ac:dyDescent="0.3"/>
  <cols>
    <col min="1" max="1" width="11.109375" customWidth="1"/>
    <col min="2" max="2" width="11.5546875" bestFit="1" customWidth="1"/>
    <col min="3" max="3" width="6.109375" bestFit="1" customWidth="1"/>
    <col min="4" max="4" width="6.6640625" bestFit="1" customWidth="1"/>
    <col min="5" max="5" width="8.109375" bestFit="1" customWidth="1"/>
    <col min="6" max="6" width="8.44140625" bestFit="1" customWidth="1"/>
    <col min="7" max="7" width="36.5546875" bestFit="1" customWidth="1"/>
    <col min="8" max="8" width="15.33203125" bestFit="1" customWidth="1"/>
    <col min="9" max="9" width="15" bestFit="1" customWidth="1"/>
    <col min="10" max="10" width="17.88671875" style="51" bestFit="1" customWidth="1"/>
    <col min="11" max="11" width="18.44140625" style="15" bestFit="1" customWidth="1"/>
    <col min="12" max="12" width="28.33203125" customWidth="1"/>
    <col min="13" max="13" width="11.5546875" bestFit="1" customWidth="1"/>
    <col min="14" max="14" width="6.109375" bestFit="1" customWidth="1"/>
    <col min="15" max="15" width="6.6640625" bestFit="1" customWidth="1"/>
    <col min="16" max="16" width="12.6640625" bestFit="1" customWidth="1"/>
    <col min="17" max="17" width="12" bestFit="1" customWidth="1"/>
    <col min="18" max="18" width="11.5546875" bestFit="1" customWidth="1"/>
    <col min="19" max="19" width="6.33203125" bestFit="1" customWidth="1"/>
    <col min="20" max="20" width="11.5546875" bestFit="1" customWidth="1"/>
    <col min="21" max="21" width="6.33203125" bestFit="1" customWidth="1"/>
    <col min="22" max="22" width="6.6640625" bestFit="1" customWidth="1"/>
    <col min="23" max="24" width="4.6640625" bestFit="1" customWidth="1"/>
    <col min="25" max="25" width="13.88671875" customWidth="1"/>
    <col min="26" max="26" width="11.5546875" customWidth="1"/>
    <col min="27" max="27" width="8.109375" customWidth="1"/>
    <col min="28" max="29" width="13.33203125" customWidth="1"/>
  </cols>
  <sheetData>
    <row r="1" spans="1:29" ht="30.05" x14ac:dyDescent="0.3">
      <c r="A1" s="53" t="s">
        <v>204</v>
      </c>
      <c r="B1" s="213" t="s">
        <v>192</v>
      </c>
      <c r="C1" s="226"/>
      <c r="D1" s="226"/>
      <c r="E1" s="226"/>
      <c r="F1" s="214"/>
      <c r="G1" s="234" t="s">
        <v>193</v>
      </c>
      <c r="H1" s="235"/>
      <c r="I1" s="235"/>
      <c r="J1" s="235"/>
      <c r="K1" s="236"/>
      <c r="L1" s="113" t="s">
        <v>194</v>
      </c>
      <c r="M1" s="213" t="s">
        <v>206</v>
      </c>
      <c r="N1" s="226"/>
      <c r="O1" s="226"/>
      <c r="P1" s="226"/>
      <c r="Q1" s="214"/>
      <c r="R1" s="224" t="s">
        <v>200</v>
      </c>
      <c r="S1" s="225"/>
      <c r="T1" s="227" t="s">
        <v>201</v>
      </c>
      <c r="U1" s="228"/>
      <c r="V1" s="228"/>
      <c r="W1" s="228"/>
      <c r="X1" s="229"/>
      <c r="Y1" s="213" t="s">
        <v>202</v>
      </c>
      <c r="Z1" s="226"/>
      <c r="AA1" s="214"/>
      <c r="AB1" s="224" t="s">
        <v>203</v>
      </c>
      <c r="AC1" s="225"/>
    </row>
    <row r="2" spans="1:29" s="23" customFormat="1" ht="44.45" customHeight="1" x14ac:dyDescent="0.3">
      <c r="B2" s="70" t="s">
        <v>125</v>
      </c>
      <c r="C2" s="68" t="s">
        <v>126</v>
      </c>
      <c r="D2" s="68" t="s">
        <v>154</v>
      </c>
      <c r="E2" s="68" t="s">
        <v>155</v>
      </c>
      <c r="F2" s="67" t="s">
        <v>156</v>
      </c>
      <c r="G2" s="114" t="s">
        <v>195</v>
      </c>
      <c r="H2" s="114" t="s">
        <v>196</v>
      </c>
      <c r="I2" s="114" t="s">
        <v>197</v>
      </c>
      <c r="J2" s="114" t="s">
        <v>13</v>
      </c>
      <c r="K2" s="115" t="s">
        <v>198</v>
      </c>
      <c r="L2" s="116"/>
      <c r="M2" s="65" t="s">
        <v>125</v>
      </c>
      <c r="N2" s="117" t="s">
        <v>126</v>
      </c>
      <c r="O2" s="117" t="s">
        <v>154</v>
      </c>
      <c r="P2" s="117" t="s">
        <v>155</v>
      </c>
      <c r="Q2" s="66" t="s">
        <v>156</v>
      </c>
      <c r="R2" s="118" t="s">
        <v>125</v>
      </c>
      <c r="S2" s="119" t="s">
        <v>157</v>
      </c>
      <c r="T2" s="120" t="s">
        <v>125</v>
      </c>
      <c r="U2" s="121" t="s">
        <v>157</v>
      </c>
      <c r="V2" s="117" t="s">
        <v>154</v>
      </c>
      <c r="W2" s="117" t="s">
        <v>155</v>
      </c>
      <c r="X2" s="66" t="s">
        <v>156</v>
      </c>
      <c r="Y2" s="125" t="s">
        <v>125</v>
      </c>
      <c r="Z2" s="126"/>
      <c r="AA2" s="69" t="s">
        <v>157</v>
      </c>
      <c r="AB2" s="122" t="s">
        <v>125</v>
      </c>
      <c r="AC2" s="124" t="s">
        <v>157</v>
      </c>
    </row>
    <row r="3" spans="1:29" x14ac:dyDescent="0.3">
      <c r="B3" s="65">
        <v>0</v>
      </c>
      <c r="C3" s="66">
        <v>100</v>
      </c>
      <c r="D3" s="68"/>
      <c r="E3" s="68"/>
      <c r="F3" s="68"/>
      <c r="G3" s="127" t="s">
        <v>158</v>
      </c>
      <c r="H3" s="128"/>
      <c r="I3" s="128"/>
      <c r="J3" s="63"/>
      <c r="K3" s="63"/>
      <c r="L3" s="128"/>
      <c r="M3" s="129">
        <f>[1]GRAFICI_IMPIANTI!B35</f>
        <v>0</v>
      </c>
      <c r="N3" s="66">
        <f>[1]GRAFICI_IMPIANTI!D35</f>
        <v>100</v>
      </c>
      <c r="O3" s="175"/>
      <c r="P3" s="175"/>
      <c r="Q3" s="176"/>
      <c r="R3" s="130">
        <v>1</v>
      </c>
      <c r="S3" s="131">
        <v>100</v>
      </c>
      <c r="T3" s="132">
        <f>0</f>
        <v>0</v>
      </c>
      <c r="U3" s="66">
        <v>100</v>
      </c>
      <c r="V3" s="68"/>
      <c r="W3" s="68"/>
      <c r="X3" s="67"/>
      <c r="Y3" s="134">
        <v>7</v>
      </c>
      <c r="Z3" s="135" t="s">
        <v>159</v>
      </c>
      <c r="AA3" s="68">
        <v>0</v>
      </c>
      <c r="AB3" s="127">
        <v>0</v>
      </c>
      <c r="AC3" s="133">
        <v>100</v>
      </c>
    </row>
    <row r="4" spans="1:29" x14ac:dyDescent="0.3">
      <c r="B4" s="99">
        <v>100</v>
      </c>
      <c r="C4" s="67">
        <v>85</v>
      </c>
      <c r="D4" s="68" t="s">
        <v>160</v>
      </c>
      <c r="E4" s="136">
        <f>SLOPE(C3:C4,B3:B4)</f>
        <v>-0.15</v>
      </c>
      <c r="F4" s="68">
        <f>INTERCEPT(C3:C4,B3:B4)</f>
        <v>100</v>
      </c>
      <c r="G4" s="64">
        <v>100</v>
      </c>
      <c r="H4" s="63">
        <v>90</v>
      </c>
      <c r="I4" s="63">
        <v>75</v>
      </c>
      <c r="J4" s="63">
        <v>40</v>
      </c>
      <c r="K4" s="63">
        <v>30</v>
      </c>
      <c r="L4" s="63">
        <v>0</v>
      </c>
      <c r="M4" s="177">
        <v>0.1</v>
      </c>
      <c r="N4" s="67">
        <f>[1]GRAFICI_IMPIANTI!D44</f>
        <v>90</v>
      </c>
      <c r="O4" s="68" t="s">
        <v>161</v>
      </c>
      <c r="P4" s="68">
        <f>SLOPE(N3:N4,M3:M4)</f>
        <v>-99.999999999999986</v>
      </c>
      <c r="Q4" s="67">
        <f>INTERCEPT(N3:N4,M3:M4)</f>
        <v>100</v>
      </c>
      <c r="R4" s="137">
        <v>0</v>
      </c>
      <c r="S4" s="124">
        <v>0</v>
      </c>
      <c r="T4" s="138">
        <v>0.1</v>
      </c>
      <c r="U4" s="67">
        <v>60</v>
      </c>
      <c r="V4" s="68" t="s">
        <v>162</v>
      </c>
      <c r="W4" s="68">
        <f>SLOPE(U3:U4,T3:T4)</f>
        <v>-399.99999999999994</v>
      </c>
      <c r="X4" s="67">
        <f>INTERCEPT(U3:U4,T3:T4)</f>
        <v>100</v>
      </c>
      <c r="Y4" s="134">
        <v>10</v>
      </c>
      <c r="Z4" s="135" t="s">
        <v>163</v>
      </c>
      <c r="AA4" s="68">
        <v>40</v>
      </c>
      <c r="AB4" s="139">
        <v>1</v>
      </c>
      <c r="AC4" s="131">
        <v>80</v>
      </c>
    </row>
    <row r="5" spans="1:29" x14ac:dyDescent="0.3">
      <c r="B5" s="99">
        <v>900</v>
      </c>
      <c r="C5" s="67">
        <v>70</v>
      </c>
      <c r="D5" s="68" t="s">
        <v>164</v>
      </c>
      <c r="E5" s="136">
        <f>SLOPE(C4:C5,B4:B5)</f>
        <v>-1.8749999999999999E-2</v>
      </c>
      <c r="F5" s="136">
        <f>INTERCEPT(C4:C5,B4:B5)</f>
        <v>86.875</v>
      </c>
      <c r="G5" s="139">
        <f>G4*1.1</f>
        <v>110.00000000000001</v>
      </c>
      <c r="H5" s="116">
        <f t="shared" ref="H5:I5" si="0">H4*1.1</f>
        <v>99.000000000000014</v>
      </c>
      <c r="I5" s="116">
        <f t="shared" si="0"/>
        <v>82.5</v>
      </c>
      <c r="J5" s="116">
        <f>J4*0.9</f>
        <v>36</v>
      </c>
      <c r="K5" s="116">
        <f>K4*0.9</f>
        <v>27</v>
      </c>
      <c r="L5" s="116">
        <v>1</v>
      </c>
      <c r="M5" s="177">
        <v>1</v>
      </c>
      <c r="N5" s="67">
        <f>[1]GRAFICI_IMPIANTI!D52</f>
        <v>70</v>
      </c>
      <c r="O5" s="68" t="s">
        <v>165</v>
      </c>
      <c r="P5" s="140">
        <f>SLOPE(N4:N5,M4:M5)</f>
        <v>-22.222222222222221</v>
      </c>
      <c r="Q5" s="141">
        <f>INTERCEPT(N4:N5,M4:M5)</f>
        <v>92.222222222222229</v>
      </c>
      <c r="T5" s="138">
        <v>0.35</v>
      </c>
      <c r="U5" s="67">
        <v>30</v>
      </c>
      <c r="V5" s="68" t="s">
        <v>166</v>
      </c>
      <c r="W5" s="68">
        <f>SLOPE(U4:U5,T4:T5)</f>
        <v>-120.00000000000001</v>
      </c>
      <c r="X5" s="67">
        <f>INTERCEPT(U4:U5,T4:T5)</f>
        <v>72</v>
      </c>
      <c r="Y5" s="134">
        <v>12</v>
      </c>
      <c r="Z5" s="135" t="s">
        <v>167</v>
      </c>
      <c r="AA5" s="68">
        <v>60</v>
      </c>
      <c r="AB5" s="139">
        <v>2</v>
      </c>
      <c r="AC5" s="131">
        <v>60</v>
      </c>
    </row>
    <row r="6" spans="1:29" x14ac:dyDescent="0.3">
      <c r="B6" s="99">
        <v>5600</v>
      </c>
      <c r="C6" s="67">
        <v>50</v>
      </c>
      <c r="D6" s="68" t="s">
        <v>168</v>
      </c>
      <c r="E6" s="136">
        <f>SLOPE(C5:C6,B5:B6)</f>
        <v>-4.2553191489361703E-3</v>
      </c>
      <c r="F6" s="136">
        <f>INTERCEPT(C5:C6,B5:B6)</f>
        <v>73.829787234042556</v>
      </c>
      <c r="G6" s="139">
        <f>G4*1.2</f>
        <v>120</v>
      </c>
      <c r="H6" s="116">
        <f t="shared" ref="H6:I6" si="1">H4*1.2</f>
        <v>108</v>
      </c>
      <c r="I6" s="116">
        <f t="shared" si="1"/>
        <v>90</v>
      </c>
      <c r="J6" s="116">
        <f>J4*0.8</f>
        <v>32</v>
      </c>
      <c r="K6" s="116">
        <f>K4*0.8</f>
        <v>24</v>
      </c>
      <c r="L6" s="116">
        <v>2</v>
      </c>
      <c r="M6" s="177">
        <v>10</v>
      </c>
      <c r="N6" s="67">
        <f>[1]GRAFICI_IMPIANTI!D55</f>
        <v>40</v>
      </c>
      <c r="O6" s="68" t="s">
        <v>169</v>
      </c>
      <c r="P6" s="140">
        <f>SLOPE(N5:N6,M5:M6)</f>
        <v>-3.3333333333333335</v>
      </c>
      <c r="Q6" s="141">
        <f>INTERCEPT(N5:N6,M5:M6)</f>
        <v>73.333333333333343</v>
      </c>
      <c r="T6" s="138">
        <v>0.6</v>
      </c>
      <c r="U6" s="67">
        <v>10</v>
      </c>
      <c r="V6" s="68" t="s">
        <v>170</v>
      </c>
      <c r="W6" s="68">
        <f>SLOPE(U5:U6,T5:T6)</f>
        <v>-80</v>
      </c>
      <c r="X6" s="67">
        <f>INTERCEPT(U5:U6,T5:T6)</f>
        <v>58</v>
      </c>
      <c r="Y6" s="134">
        <v>15</v>
      </c>
      <c r="Z6" s="135" t="s">
        <v>171</v>
      </c>
      <c r="AA6" s="68">
        <v>80</v>
      </c>
      <c r="AB6" s="139">
        <v>3</v>
      </c>
      <c r="AC6" s="131">
        <v>40</v>
      </c>
    </row>
    <row r="7" spans="1:29" x14ac:dyDescent="0.3">
      <c r="B7" s="99">
        <v>88000</v>
      </c>
      <c r="C7" s="67">
        <v>25</v>
      </c>
      <c r="D7" s="68" t="s">
        <v>172</v>
      </c>
      <c r="E7" s="136">
        <f>SLOPE(C6:C7,B6:B7)</f>
        <v>-3.0339805825242716E-4</v>
      </c>
      <c r="F7" s="136">
        <f>INTERCEPT(C6:C7,B6:B7)</f>
        <v>51.699029126213588</v>
      </c>
      <c r="G7" s="122">
        <f>G4*1.3</f>
        <v>130</v>
      </c>
      <c r="H7" s="123">
        <f t="shared" ref="H7:I7" si="2">H4*1.3</f>
        <v>117</v>
      </c>
      <c r="I7" s="123">
        <f t="shared" si="2"/>
        <v>97.5</v>
      </c>
      <c r="J7" s="123">
        <f>J4*0.7</f>
        <v>28</v>
      </c>
      <c r="K7" s="123">
        <f>K4*0.7</f>
        <v>21</v>
      </c>
      <c r="L7" s="123">
        <v>3</v>
      </c>
      <c r="M7" s="177">
        <v>100</v>
      </c>
      <c r="N7" s="67">
        <f>[1]GRAFICI_IMPIANTI!D60</f>
        <v>10</v>
      </c>
      <c r="O7" s="135" t="s">
        <v>173</v>
      </c>
      <c r="P7" s="140">
        <f>SLOPE(N6:N7,M6:M7)</f>
        <v>-0.33333333333333331</v>
      </c>
      <c r="Q7" s="141">
        <f>INTERCEPT(N6:N7,M6:M7)</f>
        <v>43.333333333333329</v>
      </c>
      <c r="T7" s="142">
        <v>1</v>
      </c>
      <c r="U7" s="69">
        <v>0</v>
      </c>
      <c r="V7" s="143" t="s">
        <v>174</v>
      </c>
      <c r="W7" s="126">
        <f>SLOPE(U6:U7,T6:T7)</f>
        <v>-24.999999999999996</v>
      </c>
      <c r="X7" s="69">
        <f>INTERCEPT(U6:U7,T6:T7)</f>
        <v>25</v>
      </c>
      <c r="Y7" s="144" t="s">
        <v>175</v>
      </c>
      <c r="Z7" s="143" t="s">
        <v>176</v>
      </c>
      <c r="AA7" s="126">
        <v>100</v>
      </c>
      <c r="AB7" s="139">
        <v>4</v>
      </c>
      <c r="AC7" s="131">
        <v>20</v>
      </c>
    </row>
    <row r="8" spans="1:29" x14ac:dyDescent="0.3">
      <c r="B8" s="100">
        <v>370000</v>
      </c>
      <c r="C8" s="69">
        <v>0</v>
      </c>
      <c r="D8" s="126" t="s">
        <v>177</v>
      </c>
      <c r="E8" s="145">
        <f>SLOPE(C7:C8,B7:B8)</f>
        <v>-8.8652482269503552E-5</v>
      </c>
      <c r="F8" s="145">
        <f>INTERCEPT(C7:C8,B7:B8)</f>
        <v>32.801418439716315</v>
      </c>
      <c r="G8" s="139" t="s">
        <v>178</v>
      </c>
      <c r="H8" s="116"/>
      <c r="I8" s="116"/>
      <c r="J8" s="62"/>
      <c r="K8" s="62"/>
      <c r="L8" s="116"/>
      <c r="M8" s="178">
        <v>190</v>
      </c>
      <c r="N8" s="69">
        <f>[1]GRAFICI_IMPIANTI!D64</f>
        <v>0</v>
      </c>
      <c r="O8" s="126" t="s">
        <v>179</v>
      </c>
      <c r="P8" s="146">
        <f>SLOPE(N7:N8,M7:M8)</f>
        <v>-0.1111111111111111</v>
      </c>
      <c r="Q8" s="147">
        <f>INTERCEPT(N7:N8,M7:M8)</f>
        <v>21.111111111111111</v>
      </c>
      <c r="AB8" s="148" t="s">
        <v>180</v>
      </c>
      <c r="AC8" s="124">
        <v>0</v>
      </c>
    </row>
    <row r="9" spans="1:29" x14ac:dyDescent="0.3">
      <c r="G9" s="160">
        <f>(G4-$K$4)/($G$4-$K$4)*100</f>
        <v>100</v>
      </c>
      <c r="H9" s="149">
        <f t="shared" ref="H9:K9" si="3">(H4-$K$4)/($G$4-$K$4)*100</f>
        <v>85.714285714285708</v>
      </c>
      <c r="I9" s="149">
        <f t="shared" si="3"/>
        <v>64.285714285714292</v>
      </c>
      <c r="J9" s="149">
        <f t="shared" si="3"/>
        <v>14.285714285714285</v>
      </c>
      <c r="K9" s="159">
        <f t="shared" si="3"/>
        <v>0</v>
      </c>
      <c r="L9" s="150" t="s">
        <v>188</v>
      </c>
    </row>
    <row r="10" spans="1:29" x14ac:dyDescent="0.3">
      <c r="G10" s="151">
        <f t="shared" ref="G10:K12" si="4">(G5-$K$4)/($G$4-$K$4)*100</f>
        <v>114.28571428571431</v>
      </c>
      <c r="H10" s="152">
        <f t="shared" si="4"/>
        <v>98.571428571428584</v>
      </c>
      <c r="I10" s="152">
        <f t="shared" si="4"/>
        <v>75</v>
      </c>
      <c r="J10" s="152">
        <f t="shared" si="4"/>
        <v>8.5714285714285712</v>
      </c>
      <c r="K10" s="153">
        <f t="shared" si="4"/>
        <v>-4.2857142857142856</v>
      </c>
      <c r="L10" s="154" t="s">
        <v>189</v>
      </c>
    </row>
    <row r="11" spans="1:29" x14ac:dyDescent="0.3">
      <c r="G11" s="151">
        <f t="shared" si="4"/>
        <v>128.57142857142858</v>
      </c>
      <c r="H11" s="152">
        <f t="shared" si="4"/>
        <v>111.42857142857143</v>
      </c>
      <c r="I11" s="152">
        <f t="shared" si="4"/>
        <v>85.714285714285708</v>
      </c>
      <c r="J11" s="152">
        <f t="shared" si="4"/>
        <v>2.8571428571428572</v>
      </c>
      <c r="K11" s="153">
        <f t="shared" si="4"/>
        <v>-8.5714285714285712</v>
      </c>
      <c r="L11" s="154" t="s">
        <v>190</v>
      </c>
    </row>
    <row r="12" spans="1:29" x14ac:dyDescent="0.3">
      <c r="G12" s="155">
        <f t="shared" si="4"/>
        <v>142.85714285714286</v>
      </c>
      <c r="H12" s="156">
        <f t="shared" si="4"/>
        <v>124.28571428571429</v>
      </c>
      <c r="I12" s="156">
        <f t="shared" si="4"/>
        <v>96.428571428571431</v>
      </c>
      <c r="J12" s="156">
        <f t="shared" si="4"/>
        <v>-2.8571428571428572</v>
      </c>
      <c r="K12" s="157">
        <f t="shared" si="4"/>
        <v>-12.857142857142856</v>
      </c>
      <c r="L12" s="158" t="s">
        <v>191</v>
      </c>
    </row>
    <row r="15" spans="1:29" x14ac:dyDescent="0.3">
      <c r="Y15">
        <v>0</v>
      </c>
      <c r="Z15">
        <f>AA3</f>
        <v>0</v>
      </c>
      <c r="AB15">
        <f>AB3</f>
        <v>0</v>
      </c>
      <c r="AC15">
        <f>AC3</f>
        <v>100</v>
      </c>
    </row>
    <row r="16" spans="1:29" x14ac:dyDescent="0.3">
      <c r="Y16">
        <f>Y3</f>
        <v>7</v>
      </c>
      <c r="Z16">
        <f>AA3</f>
        <v>0</v>
      </c>
      <c r="AB16">
        <f>AB4</f>
        <v>1</v>
      </c>
      <c r="AC16">
        <f>AC3</f>
        <v>100</v>
      </c>
    </row>
    <row r="17" spans="7:29" x14ac:dyDescent="0.3">
      <c r="Y17">
        <f>Y3</f>
        <v>7</v>
      </c>
      <c r="Z17">
        <f>AA4</f>
        <v>40</v>
      </c>
      <c r="AB17">
        <f>AB4</f>
        <v>1</v>
      </c>
      <c r="AC17">
        <f>AC4</f>
        <v>80</v>
      </c>
    </row>
    <row r="18" spans="7:29" x14ac:dyDescent="0.3">
      <c r="Y18">
        <f>Y4</f>
        <v>10</v>
      </c>
      <c r="Z18">
        <f>AA4</f>
        <v>40</v>
      </c>
      <c r="AB18">
        <f>AB5</f>
        <v>2</v>
      </c>
      <c r="AC18">
        <f>AC4</f>
        <v>80</v>
      </c>
    </row>
    <row r="19" spans="7:29" x14ac:dyDescent="0.3">
      <c r="Y19">
        <f>Y4</f>
        <v>10</v>
      </c>
      <c r="Z19">
        <f>AA5</f>
        <v>60</v>
      </c>
      <c r="AB19">
        <f>AB5</f>
        <v>2</v>
      </c>
      <c r="AC19">
        <f>AC5</f>
        <v>60</v>
      </c>
    </row>
    <row r="20" spans="7:29" x14ac:dyDescent="0.3">
      <c r="Y20">
        <f>Y5</f>
        <v>12</v>
      </c>
      <c r="Z20">
        <f>AA5</f>
        <v>60</v>
      </c>
      <c r="AB20">
        <f>AB6</f>
        <v>3</v>
      </c>
      <c r="AC20">
        <f>AC5</f>
        <v>60</v>
      </c>
    </row>
    <row r="21" spans="7:29" x14ac:dyDescent="0.3">
      <c r="Y21">
        <f>Y5</f>
        <v>12</v>
      </c>
      <c r="Z21">
        <f>AA6</f>
        <v>80</v>
      </c>
      <c r="AB21">
        <f>AB6</f>
        <v>3</v>
      </c>
      <c r="AC21">
        <f>AC6</f>
        <v>40</v>
      </c>
    </row>
    <row r="22" spans="7:29" x14ac:dyDescent="0.3">
      <c r="Y22">
        <f>Y6</f>
        <v>15</v>
      </c>
      <c r="Z22">
        <f>AA6</f>
        <v>80</v>
      </c>
      <c r="AB22">
        <f>AB7</f>
        <v>4</v>
      </c>
      <c r="AC22">
        <f>AC6</f>
        <v>40</v>
      </c>
    </row>
    <row r="23" spans="7:29" x14ac:dyDescent="0.3">
      <c r="Y23">
        <f>Y6</f>
        <v>15</v>
      </c>
      <c r="Z23">
        <f>AA7</f>
        <v>100</v>
      </c>
      <c r="AB23">
        <f>AB7</f>
        <v>4</v>
      </c>
      <c r="AC23">
        <f>AC7</f>
        <v>20</v>
      </c>
    </row>
    <row r="24" spans="7:29" x14ac:dyDescent="0.3">
      <c r="AB24">
        <v>5</v>
      </c>
      <c r="AC24">
        <f>AC7</f>
        <v>20</v>
      </c>
    </row>
    <row r="25" spans="7:29" x14ac:dyDescent="0.3">
      <c r="AB25">
        <v>5</v>
      </c>
      <c r="AC25">
        <f>AC8</f>
        <v>0</v>
      </c>
    </row>
    <row r="31" spans="7:29" x14ac:dyDescent="0.3">
      <c r="G31" t="s">
        <v>181</v>
      </c>
    </row>
    <row r="32" spans="7:29" ht="62.65" customHeight="1" x14ac:dyDescent="0.3">
      <c r="G32" s="230" t="s">
        <v>182</v>
      </c>
      <c r="H32" s="230"/>
      <c r="I32" s="231"/>
    </row>
    <row r="33" spans="7:9" ht="67.8" customHeight="1" x14ac:dyDescent="0.3">
      <c r="G33" s="230" t="s">
        <v>183</v>
      </c>
      <c r="H33" s="230"/>
      <c r="I33" s="231"/>
    </row>
    <row r="34" spans="7:9" x14ac:dyDescent="0.3">
      <c r="G34" s="232" t="s">
        <v>184</v>
      </c>
      <c r="H34" s="232"/>
      <c r="I34" s="233"/>
    </row>
    <row r="35" spans="7:9" x14ac:dyDescent="0.3">
      <c r="G35" s="232"/>
      <c r="H35" s="232"/>
      <c r="I35" s="233"/>
    </row>
  </sheetData>
  <mergeCells count="10">
    <mergeCell ref="G32:I32"/>
    <mergeCell ref="G33:I33"/>
    <mergeCell ref="G34:I35"/>
    <mergeCell ref="G1:K1"/>
    <mergeCell ref="Y1:AA1"/>
    <mergeCell ref="AB1:AC1"/>
    <mergeCell ref="B1:F1"/>
    <mergeCell ref="M1:Q1"/>
    <mergeCell ref="R1:S1"/>
    <mergeCell ref="T1:X1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F5353-25AD-438D-8FC3-9F82027DA868}">
  <dimension ref="A1:H29"/>
  <sheetViews>
    <sheetView topLeftCell="A7" workbookViewId="0">
      <selection activeCell="A5" sqref="A5:A11"/>
    </sheetView>
  </sheetViews>
  <sheetFormatPr defaultRowHeight="15.05" x14ac:dyDescent="0.3"/>
  <cols>
    <col min="1" max="1" width="8.88671875" style="68"/>
    <col min="2" max="2" width="51.44140625" customWidth="1"/>
    <col min="3" max="3" width="35.33203125" customWidth="1"/>
    <col min="4" max="4" width="41.6640625" customWidth="1"/>
    <col min="5" max="5" width="38.109375" customWidth="1"/>
    <col min="6" max="6" width="20.33203125" customWidth="1"/>
  </cols>
  <sheetData>
    <row r="1" spans="1:8" x14ac:dyDescent="0.3">
      <c r="G1" s="68"/>
      <c r="H1" s="68"/>
    </row>
    <row r="2" spans="1:8" ht="15.65" thickBot="1" x14ac:dyDescent="0.35">
      <c r="B2" s="104" t="s">
        <v>185</v>
      </c>
      <c r="C2" s="237" t="s">
        <v>220</v>
      </c>
      <c r="D2" s="237"/>
      <c r="E2" s="237"/>
      <c r="F2" s="238"/>
      <c r="G2" s="68"/>
      <c r="H2" s="68"/>
    </row>
    <row r="3" spans="1:8" s="68" customFormat="1" x14ac:dyDescent="0.3"/>
    <row r="4" spans="1:8" ht="120.25" x14ac:dyDescent="0.3">
      <c r="B4" s="82" t="s">
        <v>186</v>
      </c>
      <c r="C4" s="83"/>
      <c r="D4" s="84" t="s">
        <v>221</v>
      </c>
      <c r="E4" s="105" t="s">
        <v>222</v>
      </c>
      <c r="F4" s="106" t="s">
        <v>187</v>
      </c>
      <c r="G4" s="68"/>
      <c r="H4" s="68"/>
    </row>
    <row r="5" spans="1:8" ht="45.25" customHeight="1" x14ac:dyDescent="0.3">
      <c r="A5" s="68" t="s">
        <v>208</v>
      </c>
      <c r="B5" s="180" t="s">
        <v>207</v>
      </c>
      <c r="C5" s="53" t="s">
        <v>219</v>
      </c>
      <c r="D5" s="107">
        <v>4</v>
      </c>
      <c r="E5" s="108">
        <v>27</v>
      </c>
      <c r="F5" s="181">
        <f t="shared" ref="F5:F11" si="0">IFERROR(E5/SUM(E$5:E$11),"")</f>
        <v>8.9403973509933773E-2</v>
      </c>
      <c r="G5" s="68"/>
      <c r="H5" s="68"/>
    </row>
    <row r="6" spans="1:8" ht="45.25" customHeight="1" x14ac:dyDescent="0.3">
      <c r="A6" s="68" t="s">
        <v>209</v>
      </c>
      <c r="B6" s="180" t="s">
        <v>193</v>
      </c>
      <c r="C6" s="54" t="s">
        <v>140</v>
      </c>
      <c r="D6" s="109">
        <v>3</v>
      </c>
      <c r="E6" s="110">
        <v>50</v>
      </c>
      <c r="F6" s="49">
        <f t="shared" si="0"/>
        <v>0.16556291390728478</v>
      </c>
      <c r="G6" s="68"/>
      <c r="H6" s="68"/>
    </row>
    <row r="7" spans="1:8" ht="45.25" customHeight="1" x14ac:dyDescent="0.3">
      <c r="A7" s="68" t="s">
        <v>210</v>
      </c>
      <c r="B7" s="174" t="s">
        <v>199</v>
      </c>
      <c r="C7" s="57" t="s">
        <v>141</v>
      </c>
      <c r="D7" s="109">
        <v>5</v>
      </c>
      <c r="E7" s="110">
        <v>22</v>
      </c>
      <c r="F7" s="49">
        <f t="shared" si="0"/>
        <v>7.2847682119205295E-2</v>
      </c>
      <c r="G7" s="68"/>
      <c r="H7" s="68"/>
    </row>
    <row r="8" spans="1:8" ht="45.25" customHeight="1" x14ac:dyDescent="0.3">
      <c r="A8" s="68" t="s">
        <v>211</v>
      </c>
      <c r="B8" s="174" t="s">
        <v>200</v>
      </c>
      <c r="C8" s="25" t="s">
        <v>142</v>
      </c>
      <c r="D8" s="109">
        <v>2</v>
      </c>
      <c r="E8" s="110">
        <v>70</v>
      </c>
      <c r="F8" s="49">
        <f t="shared" si="0"/>
        <v>0.23178807947019867</v>
      </c>
      <c r="G8" s="68"/>
      <c r="H8" s="68"/>
    </row>
    <row r="9" spans="1:8" ht="45.25" customHeight="1" x14ac:dyDescent="0.3">
      <c r="A9" s="68" t="s">
        <v>212</v>
      </c>
      <c r="B9" s="174" t="s">
        <v>201</v>
      </c>
      <c r="C9" s="169" t="s">
        <v>142</v>
      </c>
      <c r="D9" s="109">
        <v>1</v>
      </c>
      <c r="E9" s="110">
        <v>100</v>
      </c>
      <c r="F9" s="49">
        <f t="shared" si="0"/>
        <v>0.33112582781456956</v>
      </c>
      <c r="G9" s="68"/>
      <c r="H9" s="68"/>
    </row>
    <row r="10" spans="1:8" ht="45.25" customHeight="1" x14ac:dyDescent="0.3">
      <c r="A10" s="68" t="s">
        <v>213</v>
      </c>
      <c r="B10" s="174" t="s">
        <v>216</v>
      </c>
      <c r="C10" s="48" t="s">
        <v>143</v>
      </c>
      <c r="D10" s="109">
        <v>7</v>
      </c>
      <c r="E10" s="110">
        <v>15</v>
      </c>
      <c r="F10" s="49">
        <f t="shared" si="0"/>
        <v>4.9668874172185427E-2</v>
      </c>
      <c r="G10" s="68"/>
      <c r="H10" s="68"/>
    </row>
    <row r="11" spans="1:8" ht="45.25" customHeight="1" x14ac:dyDescent="0.3">
      <c r="A11" s="68" t="s">
        <v>214</v>
      </c>
      <c r="B11" s="174" t="s">
        <v>203</v>
      </c>
      <c r="C11" s="26" t="s">
        <v>215</v>
      </c>
      <c r="D11" s="111">
        <v>6</v>
      </c>
      <c r="E11" s="112">
        <v>18</v>
      </c>
      <c r="F11" s="50">
        <f t="shared" si="0"/>
        <v>5.9602649006622516E-2</v>
      </c>
      <c r="G11" s="68"/>
      <c r="H11" s="68"/>
    </row>
    <row r="12" spans="1:8" x14ac:dyDescent="0.3">
      <c r="B12" s="68"/>
      <c r="C12" s="68"/>
      <c r="D12" s="68"/>
      <c r="E12" s="68"/>
      <c r="F12" s="68"/>
      <c r="G12" s="68"/>
      <c r="H12" s="68"/>
    </row>
    <row r="13" spans="1:8" x14ac:dyDescent="0.3">
      <c r="B13" s="68"/>
      <c r="C13" s="68"/>
      <c r="D13" s="68"/>
      <c r="E13" s="68"/>
      <c r="F13" s="68"/>
      <c r="G13" s="68"/>
      <c r="H13" s="68"/>
    </row>
    <row r="14" spans="1:8" x14ac:dyDescent="0.3">
      <c r="B14" s="68"/>
      <c r="C14" s="68"/>
      <c r="D14" s="68"/>
      <c r="E14" s="68"/>
      <c r="F14" s="68"/>
      <c r="G14" s="68"/>
      <c r="H14" s="68"/>
    </row>
    <row r="15" spans="1:8" x14ac:dyDescent="0.3">
      <c r="B15" s="68"/>
      <c r="C15" s="68"/>
      <c r="D15" s="68"/>
      <c r="E15" s="68"/>
      <c r="F15" s="68"/>
      <c r="G15" s="68"/>
      <c r="H15" s="68"/>
    </row>
    <row r="16" spans="1:8" x14ac:dyDescent="0.3">
      <c r="B16" s="68"/>
      <c r="C16" s="68"/>
      <c r="D16" s="68"/>
      <c r="E16" s="68"/>
      <c r="F16" s="68"/>
      <c r="G16" s="68"/>
      <c r="H16" s="68"/>
    </row>
    <row r="17" spans="2:8" x14ac:dyDescent="0.3">
      <c r="B17" s="68"/>
      <c r="C17" s="68"/>
      <c r="D17" s="68"/>
      <c r="E17" s="68"/>
      <c r="F17" s="68"/>
      <c r="G17" s="68"/>
      <c r="H17" s="68"/>
    </row>
    <row r="18" spans="2:8" x14ac:dyDescent="0.3">
      <c r="B18" s="68"/>
      <c r="C18" s="68"/>
      <c r="D18" s="68"/>
      <c r="E18" s="68"/>
      <c r="F18" s="68"/>
      <c r="G18" s="68"/>
      <c r="H18" s="68"/>
    </row>
    <row r="19" spans="2:8" x14ac:dyDescent="0.3">
      <c r="B19" s="68"/>
      <c r="C19" s="68"/>
      <c r="D19" s="68"/>
      <c r="E19" s="68"/>
      <c r="F19" s="68"/>
      <c r="G19" s="68"/>
      <c r="H19" s="68"/>
    </row>
    <row r="20" spans="2:8" x14ac:dyDescent="0.3">
      <c r="B20" s="68"/>
      <c r="C20" s="68"/>
      <c r="D20" s="68"/>
      <c r="E20" s="68"/>
      <c r="F20" s="68"/>
      <c r="G20" s="68"/>
      <c r="H20" s="68"/>
    </row>
    <row r="21" spans="2:8" x14ac:dyDescent="0.3">
      <c r="B21" s="68"/>
      <c r="C21" s="68"/>
      <c r="D21" s="68"/>
      <c r="E21" s="68"/>
      <c r="F21" s="68"/>
      <c r="G21" s="68"/>
      <c r="H21" s="68"/>
    </row>
    <row r="22" spans="2:8" x14ac:dyDescent="0.3">
      <c r="B22" s="68"/>
      <c r="C22" s="68"/>
      <c r="D22" s="68"/>
      <c r="E22" s="68"/>
      <c r="F22" s="68"/>
      <c r="G22" s="68"/>
      <c r="H22" s="68"/>
    </row>
    <row r="23" spans="2:8" x14ac:dyDescent="0.3">
      <c r="B23" s="68"/>
      <c r="C23" s="68"/>
      <c r="D23" s="68"/>
      <c r="E23" s="68"/>
      <c r="F23" s="68"/>
      <c r="G23" s="68"/>
      <c r="H23" s="68"/>
    </row>
    <row r="24" spans="2:8" x14ac:dyDescent="0.3">
      <c r="B24" s="68"/>
      <c r="C24" s="68"/>
      <c r="D24" s="68"/>
      <c r="E24" s="68"/>
      <c r="F24" s="68"/>
      <c r="G24" s="68"/>
      <c r="H24" s="68"/>
    </row>
    <row r="25" spans="2:8" x14ac:dyDescent="0.3">
      <c r="B25" s="68"/>
      <c r="C25" s="68"/>
      <c r="D25" s="68"/>
      <c r="E25" s="68"/>
      <c r="F25" s="68"/>
      <c r="G25" s="68"/>
      <c r="H25" s="68"/>
    </row>
    <row r="26" spans="2:8" x14ac:dyDescent="0.3">
      <c r="B26" s="68"/>
      <c r="C26" s="68"/>
      <c r="D26" s="68"/>
      <c r="E26" s="68"/>
      <c r="F26" s="68"/>
      <c r="G26" s="68"/>
      <c r="H26" s="68"/>
    </row>
    <row r="27" spans="2:8" x14ac:dyDescent="0.3">
      <c r="B27" s="68"/>
      <c r="C27" s="68"/>
      <c r="D27" s="68"/>
      <c r="E27" s="68"/>
      <c r="F27" s="68"/>
      <c r="G27" s="68"/>
      <c r="H27" s="68"/>
    </row>
    <row r="28" spans="2:8" x14ac:dyDescent="0.3">
      <c r="B28" s="68"/>
      <c r="C28" s="68"/>
      <c r="D28" s="68"/>
      <c r="E28" s="68"/>
      <c r="F28" s="68"/>
      <c r="G28" s="68"/>
      <c r="H28" s="68"/>
    </row>
    <row r="29" spans="2:8" x14ac:dyDescent="0.3">
      <c r="B29" s="68"/>
      <c r="C29" s="68"/>
      <c r="D29" s="68"/>
      <c r="E29" s="68"/>
      <c r="F29" s="68"/>
      <c r="G29" s="68"/>
      <c r="H29" s="68"/>
    </row>
  </sheetData>
  <autoFilter ref="A4:F4" xr:uid="{50EF5353-25AD-438D-8FC3-9F82027DA868}"/>
  <mergeCells count="1">
    <mergeCell ref="C2:F2"/>
  </mergeCells>
  <phoneticPr fontId="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EF9F9-57EE-4F5B-BFE8-860251A9D63B}">
  <dimension ref="B3:K29"/>
  <sheetViews>
    <sheetView topLeftCell="A3" zoomScale="70" zoomScaleNormal="70" workbookViewId="0">
      <selection activeCell="O28" sqref="O28"/>
    </sheetView>
  </sheetViews>
  <sheetFormatPr defaultRowHeight="15.05" x14ac:dyDescent="0.3"/>
  <cols>
    <col min="1" max="2" width="4.6640625" customWidth="1"/>
    <col min="3" max="3" width="15.88671875" customWidth="1"/>
    <col min="4" max="4" width="16.33203125" customWidth="1"/>
    <col min="5" max="5" width="12.6640625" customWidth="1"/>
    <col min="6" max="6" width="18.44140625" customWidth="1"/>
    <col min="7" max="7" width="17.5546875" customWidth="1"/>
    <col min="8" max="8" width="21.5546875" customWidth="1"/>
    <col min="9" max="9" width="18.6640625" customWidth="1"/>
    <col min="10" max="10" width="20" customWidth="1"/>
    <col min="11" max="11" width="17.44140625" customWidth="1"/>
  </cols>
  <sheetData>
    <row r="3" spans="2:11" ht="15.65" thickBot="1" x14ac:dyDescent="0.35">
      <c r="D3" s="15" t="s">
        <v>208</v>
      </c>
      <c r="E3" s="15" t="s">
        <v>209</v>
      </c>
      <c r="F3" s="15" t="s">
        <v>210</v>
      </c>
      <c r="G3" s="15" t="s">
        <v>211</v>
      </c>
      <c r="H3" s="15" t="s">
        <v>212</v>
      </c>
      <c r="I3" s="15" t="s">
        <v>213</v>
      </c>
      <c r="J3" s="15" t="s">
        <v>214</v>
      </c>
    </row>
    <row r="4" spans="2:11" ht="45.1" x14ac:dyDescent="0.3">
      <c r="B4" s="14" t="s">
        <v>217</v>
      </c>
      <c r="C4" s="14" t="s">
        <v>152</v>
      </c>
      <c r="D4" s="180" t="s">
        <v>207</v>
      </c>
      <c r="E4" s="180" t="s">
        <v>193</v>
      </c>
      <c r="F4" s="180" t="s">
        <v>199</v>
      </c>
      <c r="G4" s="180" t="s">
        <v>200</v>
      </c>
      <c r="H4" s="180" t="s">
        <v>201</v>
      </c>
      <c r="I4" s="180" t="s">
        <v>216</v>
      </c>
      <c r="J4" s="170" t="s">
        <v>203</v>
      </c>
      <c r="K4" s="179" t="s">
        <v>218</v>
      </c>
    </row>
    <row r="5" spans="2:11" x14ac:dyDescent="0.3">
      <c r="B5">
        <v>23</v>
      </c>
      <c r="C5" s="102" t="s">
        <v>89</v>
      </c>
      <c r="D5" s="241" cm="1">
        <f t="array" ref="D5">_xlfn.XLOOKUP($C5,PUNTEGGI!$A$34:$A$58,PUNTEGGI!B$34:$B$58)*_xlfn.XLOOKUP(D$4,PESI!$B$5:$B$11,PESI!$F$5:$F$11)</f>
        <v>8.2667880794701976</v>
      </c>
      <c r="E5" s="241">
        <f>_xlfn.XLOOKUP($C5,PUNTEGGI!$A$34:$A$58,PUNTEGGI!C$34:C$58)*_xlfn.XLOOKUP(E$4,PESI!$B$5:$B$11,PESI!$F$5:$F$11)</f>
        <v>20.981533772434723</v>
      </c>
      <c r="F5" s="241">
        <f>_xlfn.XLOOKUP($C5,PUNTEGGI!$A$34:$A$58,PUNTEGGI!J$34:J$58)*_xlfn.XLOOKUP(F$4,PESI!$B$5:$B$11,PESI!$F$5:$F$11)</f>
        <v>7.021683733490331</v>
      </c>
      <c r="G5" s="241">
        <f>_xlfn.XLOOKUP($C5,PUNTEGGI!$A$34:$A$58,PUNTEGGI!K$34:K$58)*_xlfn.XLOOKUP(G$4,PESI!$B$5:$B$11,PESI!$F$5:$F$11)</f>
        <v>23.178807947019866</v>
      </c>
      <c r="H5" s="241">
        <f>_xlfn.XLOOKUP($C5,PUNTEGGI!$A$34:$A$58,PUNTEGGI!L$34:L$58)*_xlfn.XLOOKUP(H$4,PESI!$B$5:$B$11,PESI!$F$5:$F$11)</f>
        <v>33.112582781456958</v>
      </c>
      <c r="I5" s="241">
        <f>_xlfn.XLOOKUP($C5,PUNTEGGI!$A$34:$A$58,PUNTEGGI!M$34:M$58)*_xlfn.XLOOKUP(I$4,PESI!$B$5:$B$11,PESI!$F$5:$F$11)</f>
        <v>0</v>
      </c>
      <c r="J5" s="27">
        <f>_xlfn.XLOOKUP($C5,PUNTEGGI!$A$34:$A$58,PUNTEGGI!N$34:N$58)*_xlfn.XLOOKUP(J$4,PESI!$B$5:$B$11,PESI!$F$5:$F$11)</f>
        <v>0</v>
      </c>
      <c r="K5" s="243">
        <f t="shared" ref="K5:K28" si="0">SUM(D5:J5)</f>
        <v>92.561396313872081</v>
      </c>
    </row>
    <row r="6" spans="2:11" x14ac:dyDescent="0.3">
      <c r="B6">
        <v>14</v>
      </c>
      <c r="C6" s="88" t="s">
        <v>79</v>
      </c>
      <c r="D6" s="241" cm="1">
        <f t="array" ref="D6">_xlfn.XLOOKUP($C6,PUNTEGGI!$A$34:$A$58,PUNTEGGI!B$34:$B$58)*_xlfn.XLOOKUP(D$4,PESI!$B$5:$B$11,PESI!$F$5:$F$11)</f>
        <v>7.1791339930764595</v>
      </c>
      <c r="E6" s="241">
        <f>_xlfn.XLOOKUP($C6,PUNTEGGI!$A$34:$A$58,PUNTEGGI!C$34:C$58)*_xlfn.XLOOKUP(E$4,PESI!$B$5:$B$11,PESI!$F$5:$F$11)</f>
        <v>14.214693957458124</v>
      </c>
      <c r="F6" s="241">
        <f>_xlfn.XLOOKUP($C6,PUNTEGGI!$A$34:$A$58,PUNTEGGI!J$34:J$58)*_xlfn.XLOOKUP(F$4,PESI!$B$5:$B$11,PESI!$F$5:$F$11)</f>
        <v>6.5794587651724754</v>
      </c>
      <c r="G6" s="241">
        <f>_xlfn.XLOOKUP($C6,PUNTEGGI!$A$34:$A$58,PUNTEGGI!K$34:K$58)*_xlfn.XLOOKUP(G$4,PESI!$B$5:$B$11,PESI!$F$5:$F$11)</f>
        <v>23.178807947019866</v>
      </c>
      <c r="H6" s="241">
        <f>_xlfn.XLOOKUP($C6,PUNTEGGI!$A$34:$A$58,PUNTEGGI!L$34:L$58)*_xlfn.XLOOKUP(H$4,PESI!$B$5:$B$11,PESI!$F$5:$F$11)</f>
        <v>33.112582781456958</v>
      </c>
      <c r="I6" s="241">
        <f>_xlfn.XLOOKUP($C6,PUNTEGGI!$A$34:$A$58,PUNTEGGI!M$34:M$58)*_xlfn.XLOOKUP(I$4,PESI!$B$5:$B$11,PESI!$F$5:$F$11)</f>
        <v>2.9801324503311255</v>
      </c>
      <c r="J6" s="27">
        <f>_xlfn.XLOOKUP($C6,PUNTEGGI!$A$34:$A$58,PUNTEGGI!N$34:N$58)*_xlfn.XLOOKUP(J$4,PESI!$B$5:$B$11,PESI!$F$5:$F$11)</f>
        <v>4.7682119205298008</v>
      </c>
      <c r="K6" s="243">
        <f t="shared" ref="K6:K29" si="1">SUM(D6:J6)</f>
        <v>92.013021815044823</v>
      </c>
    </row>
    <row r="7" spans="2:11" ht="30.05" x14ac:dyDescent="0.3">
      <c r="B7">
        <v>11</v>
      </c>
      <c r="C7" s="87" t="s">
        <v>72</v>
      </c>
      <c r="D7" s="241" cm="1">
        <f t="array" ref="D7">_xlfn.XLOOKUP($C7,PUNTEGGI!$A$34:$A$58,PUNTEGGI!B$34:$B$58)*_xlfn.XLOOKUP(D$4,PESI!$B$5:$B$11,PESI!$F$5:$F$11)</f>
        <v>8.2630945213726665</v>
      </c>
      <c r="E7" s="241">
        <f>_xlfn.XLOOKUP($C7,PUNTEGGI!$A$34:$A$58,PUNTEGGI!C$34:C$58)*_xlfn.XLOOKUP(E$4,PESI!$B$5:$B$11,PESI!$F$5:$F$11)</f>
        <v>14.19658940554814</v>
      </c>
      <c r="F7" s="241">
        <f>_xlfn.XLOOKUP($C7,PUNTEGGI!$A$34:$A$58,PUNTEGGI!J$34:J$58)*_xlfn.XLOOKUP(F$4,PESI!$B$5:$B$11,PESI!$F$5:$F$11)</f>
        <v>7.1556971947001093</v>
      </c>
      <c r="G7" s="241">
        <f>_xlfn.XLOOKUP($C7,PUNTEGGI!$A$34:$A$58,PUNTEGGI!K$34:K$58)*_xlfn.XLOOKUP(G$4,PESI!$B$5:$B$11,PESI!$F$5:$F$11)</f>
        <v>23.178807947019866</v>
      </c>
      <c r="H7" s="241">
        <f>_xlfn.XLOOKUP($C7,PUNTEGGI!$A$34:$A$58,PUNTEGGI!L$34:L$58)*_xlfn.XLOOKUP(H$4,PESI!$B$5:$B$11,PESI!$F$5:$F$11)</f>
        <v>33.112582781456958</v>
      </c>
      <c r="I7" s="241">
        <f>_xlfn.XLOOKUP($C7,PUNTEGGI!$A$34:$A$58,PUNTEGGI!M$34:M$58)*_xlfn.XLOOKUP(I$4,PESI!$B$5:$B$11,PESI!$F$5:$F$11)</f>
        <v>3.9735099337748343</v>
      </c>
      <c r="J7" s="27">
        <f>_xlfn.XLOOKUP($C7,PUNTEGGI!$A$34:$A$58,PUNTEGGI!N$34:N$58)*_xlfn.XLOOKUP(J$4,PESI!$B$5:$B$11,PESI!$F$5:$F$11)</f>
        <v>0</v>
      </c>
      <c r="K7" s="243">
        <f t="shared" si="1"/>
        <v>89.880281783872576</v>
      </c>
    </row>
    <row r="8" spans="2:11" x14ac:dyDescent="0.3">
      <c r="B8">
        <v>22</v>
      </c>
      <c r="C8" s="92" t="s">
        <v>88</v>
      </c>
      <c r="D8" s="241" cm="1">
        <f t="array" ref="D8">_xlfn.XLOOKUP($C8,PUNTEGGI!$A$34:$A$58,PUNTEGGI!B$34:$B$58)*_xlfn.XLOOKUP(D$4,PESI!$B$5:$B$11,PESI!$F$5:$F$11)</f>
        <v>7.6423320187513948</v>
      </c>
      <c r="E8" s="241">
        <f>_xlfn.XLOOKUP($C8,PUNTEGGI!$A$34:$A$58,PUNTEGGI!C$34:C$58)*_xlfn.XLOOKUP(E$4,PESI!$B$5:$B$11,PESI!$F$5:$F$11)</f>
        <v>0.69388218535602197</v>
      </c>
      <c r="F8" s="241">
        <f>_xlfn.XLOOKUP($C8,PUNTEGGI!$A$34:$A$58,PUNTEGGI!J$34:J$58)*_xlfn.XLOOKUP(F$4,PESI!$B$5:$B$11,PESI!$F$5:$F$11)</f>
        <v>7.0791131431525267</v>
      </c>
      <c r="G8" s="241">
        <f>_xlfn.XLOOKUP($C8,PUNTEGGI!$A$34:$A$58,PUNTEGGI!K$34:K$58)*_xlfn.XLOOKUP(G$4,PESI!$B$5:$B$11,PESI!$F$5:$F$11)</f>
        <v>23.178807947019866</v>
      </c>
      <c r="H8" s="241">
        <f>_xlfn.XLOOKUP($C8,PUNTEGGI!$A$34:$A$58,PUNTEGGI!L$34:L$58)*_xlfn.XLOOKUP(H$4,PESI!$B$5:$B$11,PESI!$F$5:$F$11)</f>
        <v>33.112582781456958</v>
      </c>
      <c r="I8" s="241">
        <f>_xlfn.XLOOKUP($C8,PUNTEGGI!$A$34:$A$58,PUNTEGGI!M$34:M$58)*_xlfn.XLOOKUP(I$4,PESI!$B$5:$B$11,PESI!$F$5:$F$11)</f>
        <v>0</v>
      </c>
      <c r="J8" s="27">
        <f>_xlfn.XLOOKUP($C8,PUNTEGGI!$A$34:$A$58,PUNTEGGI!N$34:N$58)*_xlfn.XLOOKUP(J$4,PESI!$B$5:$B$11,PESI!$F$5:$F$11)</f>
        <v>0</v>
      </c>
      <c r="K8" s="243">
        <f t="shared" si="1"/>
        <v>71.706718075736774</v>
      </c>
    </row>
    <row r="9" spans="2:11" x14ac:dyDescent="0.3">
      <c r="B9">
        <v>3</v>
      </c>
      <c r="C9" s="85" t="s">
        <v>48</v>
      </c>
      <c r="D9" s="241" cm="1">
        <f t="array" ref="D9">_xlfn.XLOOKUP($C9,PUNTEGGI!$A$34:$A$58,PUNTEGGI!B$34:$B$58)*_xlfn.XLOOKUP(D$4,PESI!$B$5:$B$11,PESI!$F$5:$F$11)</f>
        <v>8.7783686140018933</v>
      </c>
      <c r="E9" s="241">
        <f>_xlfn.XLOOKUP($C9,PUNTEGGI!$A$34:$A$58,PUNTEGGI!C$34:C$58)*_xlfn.XLOOKUP(E$4,PESI!$B$5:$B$11,PESI!$F$5:$F$11)</f>
        <v>14.955192069598747</v>
      </c>
      <c r="F9" s="241">
        <f>_xlfn.XLOOKUP($C9,PUNTEGGI!$A$34:$A$58,PUNTEGGI!J$34:J$58)*_xlfn.XLOOKUP(F$4,PESI!$B$5:$B$11,PESI!$F$5:$F$11)</f>
        <v>7.2466857833483305</v>
      </c>
      <c r="G9" s="241">
        <f>_xlfn.XLOOKUP($C9,PUNTEGGI!$A$34:$A$58,PUNTEGGI!K$34:K$58)*_xlfn.XLOOKUP(G$4,PESI!$B$5:$B$11,PESI!$F$5:$F$11)</f>
        <v>0</v>
      </c>
      <c r="H9" s="241">
        <f>_xlfn.XLOOKUP($C9,PUNTEGGI!$A$34:$A$58,PUNTEGGI!L$34:L$58)*_xlfn.XLOOKUP(H$4,PESI!$B$5:$B$11,PESI!$F$5:$F$11)</f>
        <v>33.112582781456958</v>
      </c>
      <c r="I9" s="241">
        <f>_xlfn.XLOOKUP($C9,PUNTEGGI!$A$34:$A$58,PUNTEGGI!M$34:M$58)*_xlfn.XLOOKUP(I$4,PESI!$B$5:$B$11,PESI!$F$5:$F$11)</f>
        <v>3.9735099337748343</v>
      </c>
      <c r="J9" s="27">
        <f>_xlfn.XLOOKUP($C9,PUNTEGGI!$A$34:$A$58,PUNTEGGI!N$34:N$58)*_xlfn.XLOOKUP(J$4,PESI!$B$5:$B$11,PESI!$F$5:$F$11)</f>
        <v>0</v>
      </c>
      <c r="K9" s="243">
        <f t="shared" si="1"/>
        <v>68.066339182180769</v>
      </c>
    </row>
    <row r="10" spans="2:11" x14ac:dyDescent="0.3">
      <c r="B10">
        <v>18</v>
      </c>
      <c r="C10" s="91" t="s">
        <v>84</v>
      </c>
      <c r="D10" s="241" cm="1">
        <f t="array" ref="D10">_xlfn.XLOOKUP($C10,PUNTEGGI!$A$34:$A$58,PUNTEGGI!B$34:$B$58)*_xlfn.XLOOKUP(D$4,PESI!$B$5:$B$11,PESI!$F$5:$F$11)</f>
        <v>6.2610321073793758</v>
      </c>
      <c r="E10" s="241">
        <f>_xlfn.XLOOKUP($C10,PUNTEGGI!$A$34:$A$58,PUNTEGGI!C$34:C$58)*_xlfn.XLOOKUP(E$4,PESI!$B$5:$B$11,PESI!$F$5:$F$11)</f>
        <v>8.5364218900128783</v>
      </c>
      <c r="F10" s="241">
        <f>_xlfn.XLOOKUP($C10,PUNTEGGI!$A$34:$A$58,PUNTEGGI!J$34:J$58)*_xlfn.XLOOKUP(F$4,PESI!$B$5:$B$11,PESI!$F$5:$F$11)</f>
        <v>6.3581486303087269</v>
      </c>
      <c r="G10" s="241">
        <f>_xlfn.XLOOKUP($C10,PUNTEGGI!$A$34:$A$58,PUNTEGGI!K$34:K$58)*_xlfn.XLOOKUP(G$4,PESI!$B$5:$B$11,PESI!$F$5:$F$11)</f>
        <v>23.178807947019866</v>
      </c>
      <c r="H10" s="241">
        <f>_xlfn.XLOOKUP($C10,PUNTEGGI!$A$34:$A$58,PUNTEGGI!L$34:L$58)*_xlfn.XLOOKUP(H$4,PESI!$B$5:$B$11,PESI!$F$5:$F$11)</f>
        <v>5.2409870429939653</v>
      </c>
      <c r="I10" s="241">
        <f>_xlfn.XLOOKUP($C10,PUNTEGGI!$A$34:$A$58,PUNTEGGI!M$34:M$58)*_xlfn.XLOOKUP(I$4,PESI!$B$5:$B$11,PESI!$F$5:$F$11)</f>
        <v>0</v>
      </c>
      <c r="J10" s="27">
        <f>_xlfn.XLOOKUP($C10,PUNTEGGI!$A$34:$A$58,PUNTEGGI!N$34:N$58)*_xlfn.XLOOKUP(J$4,PESI!$B$5:$B$11,PESI!$F$5:$F$11)</f>
        <v>4.7682119205298008</v>
      </c>
      <c r="K10" s="243">
        <f t="shared" si="1"/>
        <v>54.343609538244614</v>
      </c>
    </row>
    <row r="11" spans="2:11" x14ac:dyDescent="0.3">
      <c r="B11">
        <v>21</v>
      </c>
      <c r="C11" s="92" t="s">
        <v>87</v>
      </c>
      <c r="D11" s="241" cm="1">
        <f t="array" ref="D11">_xlfn.XLOOKUP($C11,PUNTEGGI!$A$34:$A$58,PUNTEGGI!B$34:$B$58)*_xlfn.XLOOKUP(D$4,PESI!$B$5:$B$11,PESI!$F$5:$F$11)</f>
        <v>8.3636746688741717</v>
      </c>
      <c r="E11" s="241">
        <f>_xlfn.XLOOKUP($C11,PUNTEGGI!$A$34:$A$58,PUNTEGGI!C$34:C$58)*_xlfn.XLOOKUP(E$4,PESI!$B$5:$B$11,PESI!$F$5:$F$11)</f>
        <v>5.4227127492226144</v>
      </c>
      <c r="F11" s="241">
        <f>_xlfn.XLOOKUP($C11,PUNTEGGI!$A$34:$A$58,PUNTEGGI!J$34:J$58)*_xlfn.XLOOKUP(F$4,PESI!$B$5:$B$11,PESI!$F$5:$F$11)</f>
        <v>7.1060831013529917</v>
      </c>
      <c r="G11" s="241">
        <f>_xlfn.XLOOKUP($C11,PUNTEGGI!$A$34:$A$58,PUNTEGGI!K$34:K$58)*_xlfn.XLOOKUP(G$4,PESI!$B$5:$B$11,PESI!$F$5:$F$11)</f>
        <v>0</v>
      </c>
      <c r="H11" s="241">
        <f>_xlfn.XLOOKUP($C11,PUNTEGGI!$A$34:$A$58,PUNTEGGI!L$34:L$58)*_xlfn.XLOOKUP(H$4,PESI!$B$5:$B$11,PESI!$F$5:$F$11)</f>
        <v>33.112582781456958</v>
      </c>
      <c r="I11" s="241">
        <f>_xlfn.XLOOKUP($C11,PUNTEGGI!$A$34:$A$58,PUNTEGGI!M$34:M$58)*_xlfn.XLOOKUP(I$4,PESI!$B$5:$B$11,PESI!$F$5:$F$11)</f>
        <v>0</v>
      </c>
      <c r="J11" s="27">
        <f>_xlfn.XLOOKUP($C11,PUNTEGGI!$A$34:$A$58,PUNTEGGI!N$34:N$58)*_xlfn.XLOOKUP(J$4,PESI!$B$5:$B$11,PESI!$F$5:$F$11)</f>
        <v>0</v>
      </c>
      <c r="K11" s="243">
        <f t="shared" si="1"/>
        <v>54.005053300906738</v>
      </c>
    </row>
    <row r="12" spans="2:11" x14ac:dyDescent="0.3">
      <c r="B12">
        <v>19</v>
      </c>
      <c r="C12" s="91" t="s">
        <v>85</v>
      </c>
      <c r="D12" s="241" cm="1">
        <f t="array" ref="D12">_xlfn.XLOOKUP($C12,PUNTEGGI!$A$34:$A$58,PUNTEGGI!B$34:$B$58)*_xlfn.XLOOKUP(D$4,PESI!$B$5:$B$11,PESI!$F$5:$F$11)</f>
        <v>6.1460905474685941</v>
      </c>
      <c r="E12" s="241">
        <f>_xlfn.XLOOKUP($C12,PUNTEGGI!$A$34:$A$58,PUNTEGGI!C$34:C$58)*_xlfn.XLOOKUP(E$4,PESI!$B$5:$B$11,PESI!$F$5:$F$11)</f>
        <v>4.2499515651665352</v>
      </c>
      <c r="F12" s="241">
        <f>_xlfn.XLOOKUP($C12,PUNTEGGI!$A$34:$A$58,PUNTEGGI!J$34:J$58)*_xlfn.XLOOKUP(F$4,PESI!$B$5:$B$11,PESI!$F$5:$F$11)</f>
        <v>6.3625310928939216</v>
      </c>
      <c r="G12" s="241">
        <f>_xlfn.XLOOKUP($C12,PUNTEGGI!$A$34:$A$58,PUNTEGGI!K$34:K$58)*_xlfn.XLOOKUP(G$4,PESI!$B$5:$B$11,PESI!$F$5:$F$11)</f>
        <v>23.178807947019866</v>
      </c>
      <c r="H12" s="241">
        <f>_xlfn.XLOOKUP($C12,PUNTEGGI!$A$34:$A$58,PUNTEGGI!L$34:L$58)*_xlfn.XLOOKUP(H$4,PESI!$B$5:$B$11,PESI!$F$5:$F$11)</f>
        <v>5.5899771975195263</v>
      </c>
      <c r="I12" s="241">
        <f>_xlfn.XLOOKUP($C12,PUNTEGGI!$A$34:$A$58,PUNTEGGI!M$34:M$58)*_xlfn.XLOOKUP(I$4,PESI!$B$5:$B$11,PESI!$F$5:$F$11)</f>
        <v>0</v>
      </c>
      <c r="J12" s="27">
        <f>_xlfn.XLOOKUP($C12,PUNTEGGI!$A$34:$A$58,PUNTEGGI!N$34:N$58)*_xlfn.XLOOKUP(J$4,PESI!$B$5:$B$11,PESI!$F$5:$F$11)</f>
        <v>3.576158940397351</v>
      </c>
      <c r="K12" s="243">
        <f t="shared" si="1"/>
        <v>49.103517290465788</v>
      </c>
    </row>
    <row r="13" spans="2:11" x14ac:dyDescent="0.3">
      <c r="B13">
        <v>13</v>
      </c>
      <c r="C13" s="88" t="s">
        <v>77</v>
      </c>
      <c r="D13" s="241" cm="1">
        <f t="array" ref="D13">_xlfn.XLOOKUP($C13,PUNTEGGI!$A$34:$A$58,PUNTEGGI!B$34:$B$58)*_xlfn.XLOOKUP(D$4,PESI!$B$5:$B$11,PESI!$F$5:$F$11)</f>
        <v>5.3202371121333139</v>
      </c>
      <c r="E13" s="241">
        <f>_xlfn.XLOOKUP($C13,PUNTEGGI!$A$34:$A$58,PUNTEGGI!C$34:C$58)*_xlfn.XLOOKUP(E$4,PESI!$B$5:$B$11,PESI!$F$5:$F$11)</f>
        <v>10.630136200815071</v>
      </c>
      <c r="F13" s="241">
        <f>_xlfn.XLOOKUP($C13,PUNTEGGI!$A$34:$A$58,PUNTEGGI!J$34:J$58)*_xlfn.XLOOKUP(F$4,PESI!$B$5:$B$11,PESI!$F$5:$F$11)</f>
        <v>4.253288652478088</v>
      </c>
      <c r="G13" s="241">
        <f>_xlfn.XLOOKUP($C13,PUNTEGGI!$A$34:$A$58,PUNTEGGI!K$34:K$58)*_xlfn.XLOOKUP(G$4,PESI!$B$5:$B$11,PESI!$F$5:$F$11)</f>
        <v>0</v>
      </c>
      <c r="H13" s="241">
        <f>_xlfn.XLOOKUP($C13,PUNTEGGI!$A$34:$A$58,PUNTEGGI!L$34:L$58)*_xlfn.XLOOKUP(H$4,PESI!$B$5:$B$11,PESI!$F$5:$F$11)</f>
        <v>22.734026557166388</v>
      </c>
      <c r="I13" s="241">
        <f>_xlfn.XLOOKUP($C13,PUNTEGGI!$A$34:$A$58,PUNTEGGI!M$34:M$58)*_xlfn.XLOOKUP(I$4,PESI!$B$5:$B$11,PESI!$F$5:$F$11)</f>
        <v>3.9735099337748343</v>
      </c>
      <c r="J13" s="27">
        <f>_xlfn.XLOOKUP($C13,PUNTEGGI!$A$34:$A$58,PUNTEGGI!N$34:N$58)*_xlfn.XLOOKUP(J$4,PESI!$B$5:$B$11,PESI!$F$5:$F$11)</f>
        <v>0</v>
      </c>
      <c r="K13" s="243">
        <f t="shared" si="1"/>
        <v>46.9111984563677</v>
      </c>
    </row>
    <row r="14" spans="2:11" x14ac:dyDescent="0.3">
      <c r="B14">
        <v>20</v>
      </c>
      <c r="C14" s="90" t="s">
        <v>86</v>
      </c>
      <c r="D14" s="241" cm="1">
        <f t="array" ref="D14">_xlfn.XLOOKUP($C14,PUNTEGGI!$A$34:$A$58,PUNTEGGI!B$34:$B$58)*_xlfn.XLOOKUP(D$4,PESI!$B$5:$B$11,PESI!$F$5:$F$11)</f>
        <v>2.2330959166818367</v>
      </c>
      <c r="E14" s="241">
        <f>_xlfn.XLOOKUP($C14,PUNTEGGI!$A$34:$A$58,PUNTEGGI!C$34:C$58)*_xlfn.XLOOKUP(E$4,PESI!$B$5:$B$11,PESI!$F$5:$F$11)</f>
        <v>-2.1282309044351324</v>
      </c>
      <c r="F14" s="241">
        <f>_xlfn.XLOOKUP($C14,PUNTEGGI!$A$34:$A$58,PUNTEGGI!J$34:J$58)*_xlfn.XLOOKUP(F$4,PESI!$B$5:$B$11,PESI!$F$5:$F$11)</f>
        <v>6.554382772513101</v>
      </c>
      <c r="G14" s="241">
        <f>_xlfn.XLOOKUP($C14,PUNTEGGI!$A$34:$A$58,PUNTEGGI!K$34:K$58)*_xlfn.XLOOKUP(G$4,PESI!$B$5:$B$11,PESI!$F$5:$F$11)</f>
        <v>0</v>
      </c>
      <c r="H14" s="241">
        <f>_xlfn.XLOOKUP($C14,PUNTEGGI!$A$34:$A$58,PUNTEGGI!L$34:L$58)*_xlfn.XLOOKUP(H$4,PESI!$B$5:$B$11,PESI!$F$5:$F$11)</f>
        <v>33.112582781456958</v>
      </c>
      <c r="I14" s="241">
        <f>_xlfn.XLOOKUP($C14,PUNTEGGI!$A$34:$A$58,PUNTEGGI!M$34:M$58)*_xlfn.XLOOKUP(I$4,PESI!$B$5:$B$11,PESI!$F$5:$F$11)</f>
        <v>0</v>
      </c>
      <c r="J14" s="27">
        <f>_xlfn.XLOOKUP($C14,PUNTEGGI!$A$34:$A$58,PUNTEGGI!N$34:N$58)*_xlfn.XLOOKUP(J$4,PESI!$B$5:$B$11,PESI!$F$5:$F$11)</f>
        <v>5.9602649006622519</v>
      </c>
      <c r="K14" s="243">
        <f t="shared" si="1"/>
        <v>45.732095466879016</v>
      </c>
    </row>
    <row r="15" spans="2:11" x14ac:dyDescent="0.3">
      <c r="B15">
        <v>4</v>
      </c>
      <c r="C15" s="85" t="s">
        <v>52</v>
      </c>
      <c r="D15" s="241" cm="1">
        <f t="array" ref="D15">_xlfn.XLOOKUP($C15,PUNTEGGI!$A$34:$A$58,PUNTEGGI!B$34:$B$58)*_xlfn.XLOOKUP(D$4,PESI!$B$5:$B$11,PESI!$F$5:$F$11)</f>
        <v>1.4146817224475872</v>
      </c>
      <c r="E15" s="241">
        <f>_xlfn.XLOOKUP($C15,PUNTEGGI!$A$34:$A$58,PUNTEGGI!C$34:C$58)*_xlfn.XLOOKUP(E$4,PESI!$B$5:$B$11,PESI!$F$5:$F$11)</f>
        <v>-2.1286359081779</v>
      </c>
      <c r="F15" s="241">
        <f>_xlfn.XLOOKUP($C15,PUNTEGGI!$A$34:$A$58,PUNTEGGI!J$34:J$58)*_xlfn.XLOOKUP(F$4,PESI!$B$5:$B$11,PESI!$F$5:$F$11)</f>
        <v>7.2766354668581483</v>
      </c>
      <c r="G15" s="241">
        <f>_xlfn.XLOOKUP($C15,PUNTEGGI!$A$34:$A$58,PUNTEGGI!K$34:K$58)*_xlfn.XLOOKUP(G$4,PESI!$B$5:$B$11,PESI!$F$5:$F$11)</f>
        <v>0</v>
      </c>
      <c r="H15" s="241">
        <f>_xlfn.XLOOKUP($C15,PUNTEGGI!$A$34:$A$58,PUNTEGGI!L$34:L$58)*_xlfn.XLOOKUP(H$4,PESI!$B$5:$B$11,PESI!$F$5:$F$11)</f>
        <v>33.112582781456958</v>
      </c>
      <c r="I15" s="241">
        <f>_xlfn.XLOOKUP($C15,PUNTEGGI!$A$34:$A$58,PUNTEGGI!M$34:M$58)*_xlfn.XLOOKUP(I$4,PESI!$B$5:$B$11,PESI!$F$5:$F$11)</f>
        <v>0</v>
      </c>
      <c r="J15" s="27">
        <f>_xlfn.XLOOKUP($C15,PUNTEGGI!$A$34:$A$58,PUNTEGGI!N$34:N$58)*_xlfn.XLOOKUP(J$4,PESI!$B$5:$B$11,PESI!$F$5:$F$11)</f>
        <v>0</v>
      </c>
      <c r="K15" s="243">
        <f t="shared" si="1"/>
        <v>39.675264062584795</v>
      </c>
    </row>
    <row r="16" spans="2:11" x14ac:dyDescent="0.3">
      <c r="B16">
        <v>17</v>
      </c>
      <c r="C16" s="90" t="s">
        <v>83</v>
      </c>
      <c r="D16" s="241" cm="1">
        <f t="array" ref="D16">_xlfn.XLOOKUP($C16,PUNTEGGI!$A$34:$A$58,PUNTEGGI!B$34:$B$58)*_xlfn.XLOOKUP(D$4,PESI!$B$5:$B$11,PESI!$F$5:$F$11)</f>
        <v>0.80872992659750631</v>
      </c>
      <c r="E16" s="241">
        <f>_xlfn.XLOOKUP($C16,PUNTEGGI!$A$34:$A$58,PUNTEGGI!C$34:C$58)*_xlfn.XLOOKUP(E$4,PESI!$B$5:$B$11,PESI!$F$5:$F$11)</f>
        <v>-2.1208509839846439</v>
      </c>
      <c r="F16" s="241">
        <f>_xlfn.XLOOKUP($C16,PUNTEGGI!$A$34:$A$58,PUNTEGGI!J$34:J$58)*_xlfn.XLOOKUP(F$4,PESI!$B$5:$B$11,PESI!$F$5:$F$11)</f>
        <v>6.1924342620817416</v>
      </c>
      <c r="G16" s="241">
        <f>_xlfn.XLOOKUP($C16,PUNTEGGI!$A$34:$A$58,PUNTEGGI!K$34:K$58)*_xlfn.XLOOKUP(G$4,PESI!$B$5:$B$11,PESI!$F$5:$F$11)</f>
        <v>0</v>
      </c>
      <c r="H16" s="241">
        <f>_xlfn.XLOOKUP($C16,PUNTEGGI!$A$34:$A$58,PUNTEGGI!L$34:L$58)*_xlfn.XLOOKUP(H$4,PESI!$B$5:$B$11,PESI!$F$5:$F$11)</f>
        <v>33.112582781456958</v>
      </c>
      <c r="I16" s="241">
        <f>_xlfn.XLOOKUP($C16,PUNTEGGI!$A$34:$A$58,PUNTEGGI!M$34:M$58)*_xlfn.XLOOKUP(I$4,PESI!$B$5:$B$11,PESI!$F$5:$F$11)</f>
        <v>0</v>
      </c>
      <c r="J16" s="27">
        <f>_xlfn.XLOOKUP($C16,PUNTEGGI!$A$34:$A$58,PUNTEGGI!N$34:N$58)*_xlfn.XLOOKUP(J$4,PESI!$B$5:$B$11,PESI!$F$5:$F$11)</f>
        <v>0</v>
      </c>
      <c r="K16" s="243">
        <f t="shared" si="1"/>
        <v>37.992895986151559</v>
      </c>
    </row>
    <row r="17" spans="2:11" x14ac:dyDescent="0.3">
      <c r="B17">
        <v>6</v>
      </c>
      <c r="C17" s="85" t="s">
        <v>58</v>
      </c>
      <c r="D17" s="241" cm="1">
        <f t="array" ref="D17">_xlfn.XLOOKUP($C17,PUNTEGGI!$A$34:$A$58,PUNTEGGI!B$34:$B$58)*_xlfn.XLOOKUP(D$4,PESI!$B$5:$B$11,PESI!$F$5:$F$11)</f>
        <v>0.50946593092680936</v>
      </c>
      <c r="E17" s="241">
        <f>_xlfn.XLOOKUP($C17,PUNTEGGI!$A$34:$A$58,PUNTEGGI!C$34:C$58)*_xlfn.XLOOKUP(E$4,PESI!$B$5:$B$11,PESI!$F$5:$F$11)</f>
        <v>-2.0939133928491183</v>
      </c>
      <c r="F17" s="241">
        <f>_xlfn.XLOOKUP($C17,PUNTEGGI!$A$34:$A$58,PUNTEGGI!J$34:J$58)*_xlfn.XLOOKUP(F$4,PESI!$B$5:$B$11,PESI!$F$5:$F$11)</f>
        <v>6.4811770885412434</v>
      </c>
      <c r="G17" s="241">
        <f>_xlfn.XLOOKUP($C17,PUNTEGGI!$A$34:$A$58,PUNTEGGI!K$34:K$58)*_xlfn.XLOOKUP(G$4,PESI!$B$5:$B$11,PESI!$F$5:$F$11)</f>
        <v>18.003515030246</v>
      </c>
      <c r="H17" s="241">
        <f>_xlfn.XLOOKUP($C17,PUNTEGGI!$A$34:$A$58,PUNTEGGI!L$34:L$58)*_xlfn.XLOOKUP(H$4,PESI!$B$5:$B$11,PESI!$F$5:$F$11)</f>
        <v>10.315678629142479</v>
      </c>
      <c r="I17" s="241">
        <f>_xlfn.XLOOKUP($C17,PUNTEGGI!$A$34:$A$58,PUNTEGGI!M$34:M$58)*_xlfn.XLOOKUP(I$4,PESI!$B$5:$B$11,PESI!$F$5:$F$11)</f>
        <v>0</v>
      </c>
      <c r="J17" s="27">
        <f>_xlfn.XLOOKUP($C17,PUNTEGGI!$A$34:$A$58,PUNTEGGI!N$34:N$58)*_xlfn.XLOOKUP(J$4,PESI!$B$5:$B$11,PESI!$F$5:$F$11)</f>
        <v>0</v>
      </c>
      <c r="K17" s="243">
        <f t="shared" si="1"/>
        <v>33.21592328600741</v>
      </c>
    </row>
    <row r="18" spans="2:11" x14ac:dyDescent="0.3">
      <c r="B18">
        <v>5</v>
      </c>
      <c r="C18" s="85" t="s">
        <v>54</v>
      </c>
      <c r="D18" s="241" cm="1">
        <f t="array" ref="D18">_xlfn.XLOOKUP($C18,PUNTEGGI!$A$34:$A$58,PUNTEGGI!B$34:$B$58)*_xlfn.XLOOKUP(D$4,PESI!$B$5:$B$11,PESI!$F$5:$F$11)</f>
        <v>5.8889319430745388</v>
      </c>
      <c r="E18" s="241">
        <f>_xlfn.XLOOKUP($C18,PUNTEGGI!$A$34:$A$58,PUNTEGGI!C$34:C$58)*_xlfn.XLOOKUP(E$4,PESI!$B$5:$B$11,PESI!$F$5:$F$11)</f>
        <v>15.872912502639466</v>
      </c>
      <c r="F18" s="241">
        <f>_xlfn.XLOOKUP($C18,PUNTEGGI!$A$34:$A$58,PUNTEGGI!J$34:J$58)*_xlfn.XLOOKUP(F$4,PESI!$B$5:$B$11,PESI!$F$5:$F$11)</f>
        <v>5.1824051659937984</v>
      </c>
      <c r="G18" s="241">
        <f>_xlfn.XLOOKUP($C18,PUNTEGGI!$A$34:$A$58,PUNTEGGI!K$34:K$58)*_xlfn.XLOOKUP(G$4,PESI!$B$5:$B$11,PESI!$F$5:$F$11)</f>
        <v>0</v>
      </c>
      <c r="H18" s="241">
        <f>_xlfn.XLOOKUP($C18,PUNTEGGI!$A$34:$A$58,PUNTEGGI!L$34:L$58)*_xlfn.XLOOKUP(H$4,PESI!$B$5:$B$11,PESI!$F$5:$F$11)</f>
        <v>6.1330445244662259</v>
      </c>
      <c r="I18" s="241">
        <f>_xlfn.XLOOKUP($C18,PUNTEGGI!$A$34:$A$58,PUNTEGGI!M$34:M$58)*_xlfn.XLOOKUP(I$4,PESI!$B$5:$B$11,PESI!$F$5:$F$11)</f>
        <v>0</v>
      </c>
      <c r="J18" s="27">
        <f>_xlfn.XLOOKUP($C18,PUNTEGGI!$A$34:$A$58,PUNTEGGI!N$34:N$58)*_xlfn.XLOOKUP(J$4,PESI!$B$5:$B$11,PESI!$F$5:$F$11)</f>
        <v>0</v>
      </c>
      <c r="K18" s="243">
        <f t="shared" si="1"/>
        <v>33.077294136174032</v>
      </c>
    </row>
    <row r="19" spans="2:11" x14ac:dyDescent="0.3">
      <c r="B19">
        <v>15</v>
      </c>
      <c r="C19" s="89" t="s">
        <v>81</v>
      </c>
      <c r="D19" s="241" cm="1">
        <f t="array" ref="D19">_xlfn.XLOOKUP($C19,PUNTEGGI!$A$34:$A$58,PUNTEGGI!B$34:$B$58)*_xlfn.XLOOKUP(D$4,PESI!$B$5:$B$11,PESI!$F$5:$F$11)</f>
        <v>7.4330571726126893</v>
      </c>
      <c r="E19" s="241">
        <f>_xlfn.XLOOKUP($C19,PUNTEGGI!$A$34:$A$58,PUNTEGGI!C$34:C$58)*_xlfn.XLOOKUP(E$4,PESI!$B$5:$B$11,PESI!$F$5:$F$11)</f>
        <v>0</v>
      </c>
      <c r="F19" s="241">
        <f>_xlfn.XLOOKUP($C19,PUNTEGGI!$A$34:$A$58,PUNTEGGI!J$34:J$58)*_xlfn.XLOOKUP(F$4,PESI!$B$5:$B$11,PESI!$F$5:$F$11)</f>
        <v>7.0100663655256845</v>
      </c>
      <c r="G19" s="241">
        <f>_xlfn.XLOOKUP($C19,PUNTEGGI!$A$34:$A$58,PUNTEGGI!K$34:K$58)*_xlfn.XLOOKUP(G$4,PESI!$B$5:$B$11,PESI!$F$5:$F$11)</f>
        <v>0</v>
      </c>
      <c r="H19" s="241">
        <f>_xlfn.XLOOKUP($C19,PUNTEGGI!$A$34:$A$58,PUNTEGGI!L$34:L$58)*_xlfn.XLOOKUP(H$4,PESI!$B$5:$B$11,PESI!$F$5:$F$11)</f>
        <v>8.3928271101502201</v>
      </c>
      <c r="I19" s="241">
        <f>_xlfn.XLOOKUP($C19,PUNTEGGI!$A$34:$A$58,PUNTEGGI!M$34:M$58)*_xlfn.XLOOKUP(I$4,PESI!$B$5:$B$11,PESI!$F$5:$F$11)</f>
        <v>0</v>
      </c>
      <c r="J19" s="27">
        <f>_xlfn.XLOOKUP($C19,PUNTEGGI!$A$34:$A$58,PUNTEGGI!N$34:N$58)*_xlfn.XLOOKUP(J$4,PESI!$B$5:$B$11,PESI!$F$5:$F$11)</f>
        <v>5.9602649006622519</v>
      </c>
      <c r="K19" s="243">
        <f t="shared" si="1"/>
        <v>28.796215548950848</v>
      </c>
    </row>
    <row r="20" spans="2:11" x14ac:dyDescent="0.3">
      <c r="B20">
        <v>2</v>
      </c>
      <c r="C20" s="85" t="s">
        <v>46</v>
      </c>
      <c r="D20" s="241" cm="1">
        <f t="array" ref="D20">_xlfn.XLOOKUP($C20,PUNTEGGI!$A$34:$A$58,PUNTEGGI!B$34:$B$58)*_xlfn.XLOOKUP(D$4,PESI!$B$5:$B$11,PESI!$F$5:$F$11)</f>
        <v>1.2934383083576027</v>
      </c>
      <c r="E20" s="241">
        <f>_xlfn.XLOOKUP($C20,PUNTEGGI!$A$34:$A$58,PUNTEGGI!C$34:C$58)*_xlfn.XLOOKUP(E$4,PESI!$B$5:$B$11,PESI!$F$5:$F$11)</f>
        <v>-2.1169813855633204</v>
      </c>
      <c r="F20" s="241">
        <f>_xlfn.XLOOKUP($C20,PUNTEGGI!$A$34:$A$58,PUNTEGGI!J$34:J$58)*_xlfn.XLOOKUP(F$4,PESI!$B$5:$B$11,PESI!$F$5:$F$11)</f>
        <v>6.5314648593379445</v>
      </c>
      <c r="G20" s="241">
        <f>_xlfn.XLOOKUP($C20,PUNTEGGI!$A$34:$A$58,PUNTEGGI!K$34:K$58)*_xlfn.XLOOKUP(G$4,PESI!$B$5:$B$11,PESI!$F$5:$F$11)</f>
        <v>11.292188774174029</v>
      </c>
      <c r="H20" s="241">
        <f>_xlfn.XLOOKUP($C20,PUNTEGGI!$A$34:$A$58,PUNTEGGI!L$34:L$58)*_xlfn.XLOOKUP(H$4,PESI!$B$5:$B$11,PESI!$F$5:$F$11)</f>
        <v>11.338006195199313</v>
      </c>
      <c r="I20" s="241">
        <f>_xlfn.XLOOKUP($C20,PUNTEGGI!$A$34:$A$58,PUNTEGGI!M$34:M$58)*_xlfn.XLOOKUP(I$4,PESI!$B$5:$B$11,PESI!$F$5:$F$11)</f>
        <v>0</v>
      </c>
      <c r="J20" s="27">
        <f>_xlfn.XLOOKUP($C20,PUNTEGGI!$A$34:$A$58,PUNTEGGI!N$34:N$58)*_xlfn.XLOOKUP(J$4,PESI!$B$5:$B$11,PESI!$F$5:$F$11)</f>
        <v>0</v>
      </c>
      <c r="K20" s="243">
        <f t="shared" si="1"/>
        <v>28.338116751505567</v>
      </c>
    </row>
    <row r="21" spans="2:11" x14ac:dyDescent="0.3">
      <c r="B21">
        <v>24</v>
      </c>
      <c r="C21" s="92" t="s">
        <v>90</v>
      </c>
      <c r="D21" s="241" cm="1">
        <f t="array" ref="D21">_xlfn.XLOOKUP($C21,PUNTEGGI!$A$34:$A$58,PUNTEGGI!B$34:$B$58)*_xlfn.XLOOKUP(D$4,PESI!$B$5:$B$11,PESI!$F$5:$F$11)</f>
        <v>5.9874935449220361</v>
      </c>
      <c r="E21" s="241">
        <f>_xlfn.XLOOKUP($C21,PUNTEGGI!$A$34:$A$58,PUNTEGGI!C$34:C$58)*_xlfn.XLOOKUP(E$4,PESI!$B$5:$B$11,PESI!$F$5:$F$11)</f>
        <v>-1.4184817824694189</v>
      </c>
      <c r="F21" s="241">
        <f>_xlfn.XLOOKUP($C21,PUNTEGGI!$A$34:$A$58,PUNTEGGI!J$34:J$58)*_xlfn.XLOOKUP(F$4,PESI!$B$5:$B$11,PESI!$F$5:$F$11)</f>
        <v>5.0544574578790806</v>
      </c>
      <c r="G21" s="241">
        <f>_xlfn.XLOOKUP($C21,PUNTEGGI!$A$34:$A$58,PUNTEGGI!K$34:K$58)*_xlfn.XLOOKUP(G$4,PESI!$B$5:$B$11,PESI!$F$5:$F$11)</f>
        <v>0</v>
      </c>
      <c r="H21" s="241">
        <f>_xlfn.XLOOKUP($C21,PUNTEGGI!$A$34:$A$58,PUNTEGGI!L$34:L$58)*_xlfn.XLOOKUP(H$4,PESI!$B$5:$B$11,PESI!$F$5:$F$11)</f>
        <v>13.552158623256878</v>
      </c>
      <c r="I21" s="241">
        <f>_xlfn.XLOOKUP($C21,PUNTEGGI!$A$34:$A$58,PUNTEGGI!M$34:M$58)*_xlfn.XLOOKUP(I$4,PESI!$B$5:$B$11,PESI!$F$5:$F$11)</f>
        <v>3.9735099337748343</v>
      </c>
      <c r="J21" s="27">
        <f>_xlfn.XLOOKUP($C21,PUNTEGGI!$A$34:$A$58,PUNTEGGI!N$34:N$58)*_xlfn.XLOOKUP(J$4,PESI!$B$5:$B$11,PESI!$F$5:$F$11)</f>
        <v>0</v>
      </c>
      <c r="K21" s="243">
        <f t="shared" si="1"/>
        <v>27.149137777363411</v>
      </c>
    </row>
    <row r="22" spans="2:11" x14ac:dyDescent="0.3">
      <c r="B22">
        <v>10</v>
      </c>
      <c r="C22" s="87" t="s">
        <v>69</v>
      </c>
      <c r="D22" s="241" cm="1">
        <f t="array" ref="D22">_xlfn.XLOOKUP($C22,PUNTEGGI!$A$34:$A$58,PUNTEGGI!B$34:$B$58)*_xlfn.XLOOKUP(D$4,PESI!$B$5:$B$11,PESI!$F$5:$F$11)</f>
        <v>5.247991784177497</v>
      </c>
      <c r="E22" s="241">
        <f>_xlfn.XLOOKUP($C22,PUNTEGGI!$A$34:$A$58,PUNTEGGI!C$34:C$58)*_xlfn.XLOOKUP(E$4,PESI!$B$5:$B$11,PESI!$F$5:$F$11)</f>
        <v>-1.4160701784836032</v>
      </c>
      <c r="F22" s="241">
        <f>_xlfn.XLOOKUP($C22,PUNTEGGI!$A$34:$A$58,PUNTEGGI!J$34:J$58)*_xlfn.XLOOKUP(F$4,PESI!$B$5:$B$11,PESI!$F$5:$F$11)</f>
        <v>5.0979311827225828</v>
      </c>
      <c r="G22" s="241">
        <f>_xlfn.XLOOKUP($C22,PUNTEGGI!$A$34:$A$58,PUNTEGGI!K$34:K$58)*_xlfn.XLOOKUP(G$4,PESI!$B$5:$B$11,PESI!$F$5:$F$11)</f>
        <v>0</v>
      </c>
      <c r="H22" s="241">
        <f>_xlfn.XLOOKUP($C22,PUNTEGGI!$A$34:$A$58,PUNTEGGI!L$34:L$58)*_xlfn.XLOOKUP(H$4,PESI!$B$5:$B$11,PESI!$F$5:$F$11)</f>
        <v>10.386538511896147</v>
      </c>
      <c r="I22" s="241">
        <f>_xlfn.XLOOKUP($C22,PUNTEGGI!$A$34:$A$58,PUNTEGGI!M$34:M$58)*_xlfn.XLOOKUP(I$4,PESI!$B$5:$B$11,PESI!$F$5:$F$11)</f>
        <v>0</v>
      </c>
      <c r="J22" s="27">
        <f>_xlfn.XLOOKUP($C22,PUNTEGGI!$A$34:$A$58,PUNTEGGI!N$34:N$58)*_xlfn.XLOOKUP(J$4,PESI!$B$5:$B$11,PESI!$F$5:$F$11)</f>
        <v>4.7682119205298008</v>
      </c>
      <c r="K22" s="243">
        <f t="shared" si="1"/>
        <v>24.084603220842425</v>
      </c>
    </row>
    <row r="23" spans="2:11" x14ac:dyDescent="0.3">
      <c r="B23">
        <v>12</v>
      </c>
      <c r="C23" s="88" t="s">
        <v>74</v>
      </c>
      <c r="D23" s="241" cm="1">
        <f t="array" ref="D23">_xlfn.XLOOKUP($C23,PUNTEGGI!$A$34:$A$58,PUNTEGGI!B$34:$B$58)*_xlfn.XLOOKUP(D$4,PESI!$B$5:$B$11,PESI!$F$5:$F$11)</f>
        <v>4.3407236844677568</v>
      </c>
      <c r="E23" s="241">
        <f>_xlfn.XLOOKUP($C23,PUNTEGGI!$A$34:$A$58,PUNTEGGI!C$34:C$58)*_xlfn.XLOOKUP(E$4,PESI!$B$5:$B$11,PESI!$F$5:$F$11)</f>
        <v>-1.0091929370390791</v>
      </c>
      <c r="F23" s="241">
        <f>_xlfn.XLOOKUP($C23,PUNTEGGI!$A$34:$A$58,PUNTEGGI!J$34:J$58)*_xlfn.XLOOKUP(F$4,PESI!$B$5:$B$11,PESI!$F$5:$F$11)</f>
        <v>3.7760038860500211</v>
      </c>
      <c r="G23" s="241">
        <f>_xlfn.XLOOKUP($C23,PUNTEGGI!$A$34:$A$58,PUNTEGGI!K$34:K$58)*_xlfn.XLOOKUP(G$4,PESI!$B$5:$B$11,PESI!$F$5:$F$11)</f>
        <v>2.1615366794648989</v>
      </c>
      <c r="H23" s="241">
        <f>_xlfn.XLOOKUP($C23,PUNTEGGI!$A$34:$A$58,PUNTEGGI!L$34:L$58)*_xlfn.XLOOKUP(H$4,PESI!$B$5:$B$11,PESI!$F$5:$F$11)</f>
        <v>14.450761551232082</v>
      </c>
      <c r="I23" s="241">
        <f>_xlfn.XLOOKUP($C23,PUNTEGGI!$A$34:$A$58,PUNTEGGI!M$34:M$58)*_xlfn.XLOOKUP(I$4,PESI!$B$5:$B$11,PESI!$F$5:$F$11)</f>
        <v>0</v>
      </c>
      <c r="J23" s="27">
        <f>_xlfn.XLOOKUP($C23,PUNTEGGI!$A$34:$A$58,PUNTEGGI!N$34:N$58)*_xlfn.XLOOKUP(J$4,PESI!$B$5:$B$11,PESI!$F$5:$F$11)</f>
        <v>0</v>
      </c>
      <c r="K23" s="243">
        <f t="shared" si="1"/>
        <v>23.719832864175679</v>
      </c>
    </row>
    <row r="24" spans="2:11" x14ac:dyDescent="0.3">
      <c r="B24">
        <v>16</v>
      </c>
      <c r="C24" s="89" t="s">
        <v>82</v>
      </c>
      <c r="D24" s="241" cm="1">
        <f t="array" ref="D24">_xlfn.XLOOKUP($C24,PUNTEGGI!$A$34:$A$58,PUNTEGGI!B$34:$B$58)*_xlfn.XLOOKUP(D$4,PESI!$B$5:$B$11,PESI!$F$5:$F$11)</f>
        <v>7.4254088596349543</v>
      </c>
      <c r="E24" s="241">
        <f>_xlfn.XLOOKUP($C24,PUNTEGGI!$A$34:$A$58,PUNTEGGI!C$34:C$58)*_xlfn.XLOOKUP(E$4,PESI!$B$5:$B$11,PESI!$F$5:$F$11)</f>
        <v>-0.47303689687795653</v>
      </c>
      <c r="F24" s="241">
        <f>_xlfn.XLOOKUP($C24,PUNTEGGI!$A$34:$A$58,PUNTEGGI!J$34:J$58)*_xlfn.XLOOKUP(F$4,PESI!$B$5:$B$11,PESI!$F$5:$F$11)</f>
        <v>7.0501097710144078</v>
      </c>
      <c r="G24" s="241">
        <f>_xlfn.XLOOKUP($C24,PUNTEGGI!$A$34:$A$58,PUNTEGGI!K$34:K$58)*_xlfn.XLOOKUP(G$4,PESI!$B$5:$B$11,PESI!$F$5:$F$11)</f>
        <v>0</v>
      </c>
      <c r="H24" s="241">
        <f>_xlfn.XLOOKUP($C24,PUNTEGGI!$A$34:$A$58,PUNTEGGI!L$34:L$58)*_xlfn.XLOOKUP(H$4,PESI!$B$5:$B$11,PESI!$F$5:$F$11)</f>
        <v>2.6079032608402692</v>
      </c>
      <c r="I24" s="241">
        <f>_xlfn.XLOOKUP($C24,PUNTEGGI!$A$34:$A$58,PUNTEGGI!M$34:M$58)*_xlfn.XLOOKUP(I$4,PESI!$B$5:$B$11,PESI!$F$5:$F$11)</f>
        <v>0</v>
      </c>
      <c r="J24" s="27">
        <f>_xlfn.XLOOKUP($C24,PUNTEGGI!$A$34:$A$58,PUNTEGGI!N$34:N$58)*_xlfn.XLOOKUP(J$4,PESI!$B$5:$B$11,PESI!$F$5:$F$11)</f>
        <v>3.576158940397351</v>
      </c>
      <c r="K24" s="243">
        <f t="shared" si="1"/>
        <v>20.186543935009027</v>
      </c>
    </row>
    <row r="25" spans="2:11" x14ac:dyDescent="0.3">
      <c r="B25">
        <v>8</v>
      </c>
      <c r="C25" s="86" t="s">
        <v>61</v>
      </c>
      <c r="D25" s="241" cm="1">
        <f t="array" ref="D25">_xlfn.XLOOKUP($C25,PUNTEGGI!$A$34:$A$58,PUNTEGGI!B$34:$B$58)*_xlfn.XLOOKUP(D$4,PESI!$B$5:$B$11,PESI!$F$5:$F$11)</f>
        <v>4.4854277863886152</v>
      </c>
      <c r="E25" s="241">
        <f>_xlfn.XLOOKUP($C25,PUNTEGGI!$A$34:$A$58,PUNTEGGI!C$34:C$58)*_xlfn.XLOOKUP(E$4,PESI!$B$5:$B$11,PESI!$F$5:$F$11)</f>
        <v>-2.1089374833088752</v>
      </c>
      <c r="F25" s="241">
        <f>_xlfn.XLOOKUP($C25,PUNTEGGI!$A$34:$A$58,PUNTEGGI!J$34:J$58)*_xlfn.XLOOKUP(F$4,PESI!$B$5:$B$11,PESI!$F$5:$F$11)</f>
        <v>5.30196160859375</v>
      </c>
      <c r="G25" s="241">
        <f>_xlfn.XLOOKUP($C25,PUNTEGGI!$A$34:$A$58,PUNTEGGI!K$34:K$58)*_xlfn.XLOOKUP(G$4,PESI!$B$5:$B$11,PESI!$F$5:$F$11)</f>
        <v>0</v>
      </c>
      <c r="H25" s="241">
        <f>_xlfn.XLOOKUP($C25,PUNTEGGI!$A$34:$A$58,PUNTEGGI!L$34:L$58)*_xlfn.XLOOKUP(H$4,PESI!$B$5:$B$11,PESI!$F$5:$F$11)</f>
        <v>10.079634166399988</v>
      </c>
      <c r="I25" s="241">
        <f>_xlfn.XLOOKUP($C25,PUNTEGGI!$A$34:$A$58,PUNTEGGI!M$34:M$58)*_xlfn.XLOOKUP(I$4,PESI!$B$5:$B$11,PESI!$F$5:$F$11)</f>
        <v>0</v>
      </c>
      <c r="J25" s="27">
        <f>_xlfn.XLOOKUP($C25,PUNTEGGI!$A$34:$A$58,PUNTEGGI!N$34:N$58)*_xlfn.XLOOKUP(J$4,PESI!$B$5:$B$11,PESI!$F$5:$F$11)</f>
        <v>0</v>
      </c>
      <c r="K25" s="243">
        <f t="shared" si="1"/>
        <v>17.758086078073475</v>
      </c>
    </row>
    <row r="26" spans="2:11" x14ac:dyDescent="0.3">
      <c r="B26">
        <v>7</v>
      </c>
      <c r="C26" s="85" t="s">
        <v>60</v>
      </c>
      <c r="D26" s="241" cm="1">
        <f t="array" ref="D26">_xlfn.XLOOKUP($C26,PUNTEGGI!$A$34:$A$58,PUNTEGGI!B$34:$B$58)*_xlfn.XLOOKUP(D$4,PESI!$B$5:$B$11,PESI!$F$5:$F$11)</f>
        <v>0.85603200713712835</v>
      </c>
      <c r="E26" s="241">
        <f>_xlfn.XLOOKUP($C26,PUNTEGGI!$A$34:$A$58,PUNTEGGI!C$34:C$58)*_xlfn.XLOOKUP(E$4,PESI!$B$5:$B$11,PESI!$F$5:$F$11)</f>
        <v>-2.12415786064363</v>
      </c>
      <c r="F26" s="241">
        <f>_xlfn.XLOOKUP($C26,PUNTEGGI!$A$34:$A$58,PUNTEGGI!J$34:J$58)*_xlfn.XLOOKUP(F$4,PESI!$B$5:$B$11,PESI!$F$5:$F$11)</f>
        <v>6.1675444792705401</v>
      </c>
      <c r="G26" s="241">
        <f>_xlfn.XLOOKUP($C26,PUNTEGGI!$A$34:$A$58,PUNTEGGI!K$34:K$58)*_xlfn.XLOOKUP(G$4,PESI!$B$5:$B$11,PESI!$F$5:$F$11)</f>
        <v>0</v>
      </c>
      <c r="H26" s="241">
        <f>_xlfn.XLOOKUP($C26,PUNTEGGI!$A$34:$A$58,PUNTEGGI!L$34:L$58)*_xlfn.XLOOKUP(H$4,PESI!$B$5:$B$11,PESI!$F$5:$F$11)</f>
        <v>8.2731518395233756</v>
      </c>
      <c r="I26" s="241">
        <f>_xlfn.XLOOKUP($C26,PUNTEGGI!$A$34:$A$58,PUNTEGGI!M$34:M$58)*_xlfn.XLOOKUP(I$4,PESI!$B$5:$B$11,PESI!$F$5:$F$11)</f>
        <v>3.9735099337748343</v>
      </c>
      <c r="J26" s="27">
        <f>_xlfn.XLOOKUP($C26,PUNTEGGI!$A$34:$A$58,PUNTEGGI!N$34:N$58)*_xlfn.XLOOKUP(J$4,PESI!$B$5:$B$11,PESI!$F$5:$F$11)</f>
        <v>0</v>
      </c>
      <c r="K26" s="243">
        <f t="shared" si="1"/>
        <v>17.146080399062249</v>
      </c>
    </row>
    <row r="27" spans="2:11" x14ac:dyDescent="0.3">
      <c r="B27">
        <v>1</v>
      </c>
      <c r="C27" s="85" t="s">
        <v>39</v>
      </c>
      <c r="D27" s="241" cm="1">
        <f t="array" ref="D27">_xlfn.XLOOKUP($C27,PUNTEGGI!$A$34:$A$58,PUNTEGGI!B$34:$B$58)*_xlfn.XLOOKUP(D$4,PESI!$B$5:$B$11,PESI!$F$5:$F$11)</f>
        <v>0.84042783013052302</v>
      </c>
      <c r="E27" s="241">
        <f>_xlfn.XLOOKUP($C27,PUNTEGGI!$A$34:$A$58,PUNTEGGI!C$34:C$58)*_xlfn.XLOOKUP(E$4,PESI!$B$5:$B$11,PESI!$F$5:$F$11)</f>
        <v>-2.1251151496005343</v>
      </c>
      <c r="F27" s="241">
        <f>_xlfn.XLOOKUP($C27,PUNTEGGI!$A$34:$A$58,PUNTEGGI!J$34:J$58)*_xlfn.XLOOKUP(F$4,PESI!$B$5:$B$11,PESI!$F$5:$F$11)</f>
        <v>6.4000265095576214</v>
      </c>
      <c r="G27" s="241">
        <f>_xlfn.XLOOKUP($C27,PUNTEGGI!$A$34:$A$58,PUNTEGGI!K$34:K$58)*_xlfn.XLOOKUP(G$4,PESI!$B$5:$B$11,PESI!$F$5:$F$11)</f>
        <v>0</v>
      </c>
      <c r="H27" s="241">
        <f>_xlfn.XLOOKUP($C27,PUNTEGGI!$A$34:$A$58,PUNTEGGI!L$34:L$58)*_xlfn.XLOOKUP(H$4,PESI!$B$5:$B$11,PESI!$F$5:$F$11)</f>
        <v>7.3247212343244215</v>
      </c>
      <c r="I27" s="241">
        <f>_xlfn.XLOOKUP($C27,PUNTEGGI!$A$34:$A$58,PUNTEGGI!M$34:M$58)*_xlfn.XLOOKUP(I$4,PESI!$B$5:$B$11,PESI!$F$5:$F$11)</f>
        <v>3.9735099337748343</v>
      </c>
      <c r="J27" s="27">
        <f>_xlfn.XLOOKUP($C27,PUNTEGGI!$A$34:$A$58,PUNTEGGI!N$34:N$58)*_xlfn.XLOOKUP(J$4,PESI!$B$5:$B$11,PESI!$F$5:$F$11)</f>
        <v>0</v>
      </c>
      <c r="K27" s="243">
        <f t="shared" si="1"/>
        <v>16.413570358186867</v>
      </c>
    </row>
    <row r="28" spans="2:11" x14ac:dyDescent="0.3">
      <c r="B28">
        <v>9</v>
      </c>
      <c r="C28" s="103" t="s">
        <v>67</v>
      </c>
      <c r="D28" s="241" cm="1">
        <f t="array" ref="D28">_xlfn.XLOOKUP($C28,PUNTEGGI!$A$34:$A$58,PUNTEGGI!B$34:$B$58)*_xlfn.XLOOKUP(D$4,PESI!$B$5:$B$11,PESI!$F$5:$F$11)</f>
        <v>-1.6256128865029765E-2</v>
      </c>
      <c r="E28" s="241">
        <f>_xlfn.XLOOKUP($C28,PUNTEGGI!$A$34:$A$58,PUNTEGGI!C$34:C$58)*_xlfn.XLOOKUP(E$4,PESI!$B$5:$B$11,PESI!$F$5:$F$11)</f>
        <v>-2.1286444454142863</v>
      </c>
      <c r="F28" s="241">
        <f>_xlfn.XLOOKUP($C28,PUNTEGGI!$A$34:$A$58,PUNTEGGI!J$34:J$58)*_xlfn.XLOOKUP(F$4,PESI!$B$5:$B$11,PESI!$F$5:$F$11)</f>
        <v>6.2063507509747629</v>
      </c>
      <c r="G28" s="241">
        <f>_xlfn.XLOOKUP($C28,PUNTEGGI!$A$34:$A$58,PUNTEGGI!K$34:K$58)*_xlfn.XLOOKUP(G$4,PESI!$B$5:$B$11,PESI!$F$5:$F$11)</f>
        <v>0</v>
      </c>
      <c r="H28" s="241">
        <f>_xlfn.XLOOKUP($C28,PUNTEGGI!$A$34:$A$58,PUNTEGGI!L$34:L$58)*_xlfn.XLOOKUP(H$4,PESI!$B$5:$B$11,PESI!$F$5:$F$11)</f>
        <v>3.2148185449884972</v>
      </c>
      <c r="I28" s="241">
        <f>_xlfn.XLOOKUP($C28,PUNTEGGI!$A$34:$A$58,PUNTEGGI!M$34:M$58)*_xlfn.XLOOKUP(I$4,PESI!$B$5:$B$11,PESI!$F$5:$F$11)</f>
        <v>0</v>
      </c>
      <c r="J28" s="27">
        <f>_xlfn.XLOOKUP($C28,PUNTEGGI!$A$34:$A$58,PUNTEGGI!N$34:N$58)*_xlfn.XLOOKUP(J$4,PESI!$B$5:$B$11,PESI!$F$5:$F$11)</f>
        <v>5.9602649006622519</v>
      </c>
      <c r="K28" s="243">
        <f t="shared" si="1"/>
        <v>13.236533622346196</v>
      </c>
    </row>
    <row r="29" spans="2:11" ht="15.65" thickBot="1" x14ac:dyDescent="0.35">
      <c r="B29">
        <v>25</v>
      </c>
      <c r="C29" s="240" t="str">
        <f>PUNTEGGI!A58</f>
        <v>NOME IMPIANTO</v>
      </c>
      <c r="D29" s="242" t="e" cm="1">
        <f t="array" ref="D29">_xlfn.XLOOKUP($C29,PUNTEGGI!$A$34:$A$58,PUNTEGGI!B$34:$B$58)*_xlfn.XLOOKUP(D$4,PESI!$B$5:$B$11,PESI!$F$5:$F$11)</f>
        <v>#DIV/0!</v>
      </c>
      <c r="E29" s="242" t="e">
        <f>_xlfn.XLOOKUP($C29,PUNTEGGI!$A$34:$A$58,PUNTEGGI!C$34:C$58)*_xlfn.XLOOKUP(E$4,PESI!$B$5:$B$11,PESI!$F$5:$F$11)</f>
        <v>#DIV/0!</v>
      </c>
      <c r="F29" s="242" t="e">
        <f>_xlfn.XLOOKUP($C29,PUNTEGGI!$A$34:$A$58,PUNTEGGI!J$34:J$58)*_xlfn.XLOOKUP(F$4,PESI!$B$5:$B$11,PESI!$F$5:$F$11)</f>
        <v>#DIV/0!</v>
      </c>
      <c r="G29" s="242">
        <f>_xlfn.XLOOKUP($C29,PUNTEGGI!$A$34:$A$58,PUNTEGGI!K$34:K$58)*_xlfn.XLOOKUP(G$4,PESI!$B$5:$B$11,PESI!$F$5:$F$11)</f>
        <v>0</v>
      </c>
      <c r="H29" s="242">
        <f>_xlfn.XLOOKUP($C29,PUNTEGGI!$A$34:$A$58,PUNTEGGI!L$34:L$58)*_xlfn.XLOOKUP(H$4,PESI!$B$5:$B$11,PESI!$F$5:$F$11)</f>
        <v>33.112582781456958</v>
      </c>
      <c r="I29" s="242">
        <f>_xlfn.XLOOKUP($C29,PUNTEGGI!$A$34:$A$58,PUNTEGGI!M$34:M$58)*_xlfn.XLOOKUP(I$4,PESI!$B$5:$B$11,PESI!$F$5:$F$11)</f>
        <v>0</v>
      </c>
      <c r="J29" s="93">
        <f>_xlfn.XLOOKUP($C29,PUNTEGGI!$A$34:$A$58,PUNTEGGI!N$34:N$58)*_xlfn.XLOOKUP(J$4,PESI!$B$5:$B$11,PESI!$F$5:$F$11)</f>
        <v>0</v>
      </c>
      <c r="K29" s="244" t="e">
        <f t="shared" si="1"/>
        <v>#DIV/0!</v>
      </c>
    </row>
  </sheetData>
  <autoFilter ref="B4:K4" xr:uid="{2D2EF9F9-57EE-4F5B-BFE8-860251A9D63B}">
    <sortState xmlns:xlrd2="http://schemas.microsoft.com/office/spreadsheetml/2017/richdata2" ref="B5:K28">
      <sortCondition descending="1" ref="K4"/>
    </sortState>
  </autoFilter>
  <phoneticPr fontId="9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INTRODUZIONE</vt:lpstr>
      <vt:lpstr>2022_DATI</vt:lpstr>
      <vt:lpstr>PUNTEGGI</vt:lpstr>
      <vt:lpstr>FUNZIONI UTILITA</vt:lpstr>
      <vt:lpstr>PESI</vt:lpstr>
      <vt:lpstr>IC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Stefano Casarin</dc:creator>
  <cp:keywords/>
  <dc:description/>
  <cp:lastModifiedBy>Stefano Casarin</cp:lastModifiedBy>
  <cp:revision/>
  <dcterms:created xsi:type="dcterms:W3CDTF">2015-06-05T18:17:20Z</dcterms:created>
  <dcterms:modified xsi:type="dcterms:W3CDTF">2025-09-12T14:38:35Z</dcterms:modified>
  <cp:category/>
  <cp:contentStatus/>
</cp:coreProperties>
</file>